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AP Rate Studies\CAP RATE STUDY 2026\2026 CAP Rate Study - All Industries - Worksheets\publish to website\"/>
    </mc:Choice>
  </mc:AlternateContent>
  <xr:revisionPtr revIDLastSave="0" documentId="13_ncr:1_{DB5E0F18-F7BE-44F2-B2DF-00A49B3857D3}" xr6:coauthVersionLast="47" xr6:coauthVersionMax="47" xr10:uidLastSave="{00000000-0000-0000-0000-000000000000}"/>
  <bookViews>
    <workbookView xWindow="28680" yWindow="-45" windowWidth="29040" windowHeight="15720" tabRatio="862" xr2:uid="{00000000-000D-0000-FFFF-FFFF00000000}"/>
  </bookViews>
  <sheets>
    <sheet name="Cover Sheet" sheetId="6" r:id="rId1"/>
    <sheet name="Yield CapRate" sheetId="7" r:id="rId2"/>
    <sheet name="Direct CapRates" sheetId="10" r:id="rId3"/>
    <sheet name="S&amp;D" sheetId="3" r:id="rId4"/>
    <sheet name="Market to Book Ratios" sheetId="29" r:id="rId5"/>
    <sheet name="Maintenance CapEx" sheetId="11" r:id="rId6"/>
    <sheet name="Beta for CAPM" sheetId="14" r:id="rId7"/>
    <sheet name="Dividends " sheetId="17" r:id="rId8"/>
    <sheet name="Earnings" sheetId="27" r:id="rId9"/>
    <sheet name="Debt" sheetId="8" r:id="rId10"/>
    <sheet name="Direct GCF" sheetId="5" r:id="rId11"/>
    <sheet name="Direct NOPAT" sheetId="12" r:id="rId12"/>
    <sheet name="CAPM" sheetId="34" r:id="rId13"/>
    <sheet name="Growth &amp; Inflation Rates " sheetId="38" r:id="rId14"/>
    <sheet name="Indicated Yield Equity Rate" sheetId="33" r:id="rId15"/>
    <sheet name="Single Stage Div Growth Model" sheetId="19" r:id="rId16"/>
    <sheet name="Two-Stage Div Growth Model" sheetId="20" r:id="rId17"/>
    <sheet name="Multiples" sheetId="25" r:id="rId18"/>
    <sheet name="Info" sheetId="9" r:id="rId19"/>
  </sheets>
  <definedNames>
    <definedName name="_xlnm.Print_Area" localSheetId="6">'Beta for CAPM'!$A$1:$H$36</definedName>
    <definedName name="_xlnm.Print_Area" localSheetId="12">CAPM!$A$1:$H$83</definedName>
    <definedName name="_xlnm.Print_Area" localSheetId="0">'Cover Sheet'!$A$1:$I$37</definedName>
    <definedName name="_xlnm.Print_Area" localSheetId="9">Debt!$A$1:$M$58</definedName>
    <definedName name="_xlnm.Print_Area" localSheetId="2">'Direct CapRates'!$A$1:$H$66</definedName>
    <definedName name="_xlnm.Print_Area" localSheetId="10">'Direct GCF'!$A$1:$N$38</definedName>
    <definedName name="_xlnm.Print_Area" localSheetId="11">'Direct NOPAT'!$A$1:$N$58</definedName>
    <definedName name="_xlnm.Print_Area" localSheetId="7">'Dividends '!$A$1:$K$30</definedName>
    <definedName name="_xlnm.Print_Area" localSheetId="8">Earnings!$A$1:$K$30</definedName>
    <definedName name="_xlnm.Print_Area" localSheetId="13">'Growth &amp; Inflation Rates '!$A$1:$I$108</definedName>
    <definedName name="_xlnm.Print_Area" localSheetId="14">'Indicated Yield Equity Rate'!$A$1:$F$52</definedName>
    <definedName name="_xlnm.Print_Area" localSheetId="5">'Maintenance CapEx'!$A$1:$L$75</definedName>
    <definedName name="_xlnm.Print_Area" localSheetId="4">'Market to Book Ratios'!$A$1:$G$58</definedName>
    <definedName name="_xlnm.Print_Area" localSheetId="17">Multiples!$A$1:$J$42</definedName>
    <definedName name="_xlnm.Print_Area" localSheetId="3">'S&amp;D'!$A$1:$L$90</definedName>
    <definedName name="_xlnm.Print_Area" localSheetId="15">'Single Stage Div Growth Model'!$A$1:$K$46</definedName>
    <definedName name="_xlnm.Print_Area" localSheetId="16">'Two-Stage Div Growth Model'!$A$1:$I$44</definedName>
    <definedName name="_xlnm.Print_Area" localSheetId="1">'Yield CapRate'!$A$1:$H$35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5" i="20" l="1"/>
  <c r="H25" i="20" s="1"/>
  <c r="H30" i="20" s="1"/>
  <c r="G24" i="20"/>
  <c r="H24" i="20"/>
  <c r="L18" i="5"/>
  <c r="M18" i="5"/>
  <c r="H26" i="14"/>
  <c r="H24" i="3"/>
  <c r="D39" i="3" s="1"/>
  <c r="J22" i="3"/>
  <c r="F21" i="27" l="1"/>
  <c r="J24" i="3"/>
  <c r="G39" i="3"/>
  <c r="D21" i="11"/>
  <c r="G42" i="3" l="1"/>
  <c r="J27" i="3"/>
  <c r="G41" i="3"/>
  <c r="J26" i="3"/>
  <c r="I26" i="3"/>
  <c r="G40" i="3"/>
  <c r="J25" i="3"/>
  <c r="H25" i="3"/>
  <c r="G38" i="3" l="1"/>
  <c r="J23" i="3"/>
  <c r="I22" i="3"/>
  <c r="G37" i="3"/>
  <c r="F37" i="3"/>
  <c r="H31" i="5" l="1"/>
  <c r="A7" i="38" l="1"/>
  <c r="D58" i="10" l="1"/>
  <c r="D25" i="10"/>
  <c r="J16" i="8"/>
  <c r="J17" i="8"/>
  <c r="J18" i="8"/>
  <c r="J19" i="8"/>
  <c r="J20" i="8"/>
  <c r="J15" i="8"/>
  <c r="J25" i="8" l="1"/>
  <c r="J24" i="8"/>
  <c r="I25" i="8"/>
  <c r="I24" i="8"/>
  <c r="I23" i="8"/>
  <c r="I22" i="8"/>
  <c r="J22" i="8"/>
  <c r="J23" i="8"/>
  <c r="G31" i="5"/>
  <c r="K16" i="17" l="1"/>
  <c r="C25" i="11"/>
  <c r="C24" i="11"/>
  <c r="C23" i="11"/>
  <c r="C22" i="11"/>
  <c r="C21" i="11"/>
  <c r="C20" i="11"/>
  <c r="F57" i="34"/>
  <c r="F56" i="34"/>
  <c r="F55" i="34"/>
  <c r="F53" i="34"/>
  <c r="F52" i="34"/>
  <c r="F50" i="34"/>
  <c r="F48" i="34"/>
  <c r="F46" i="34"/>
  <c r="F45" i="34"/>
  <c r="F44" i="34"/>
  <c r="F43" i="34"/>
  <c r="F41" i="34"/>
  <c r="F40" i="34"/>
  <c r="E31" i="34"/>
  <c r="E30" i="34"/>
  <c r="E29" i="34"/>
  <c r="E27" i="34"/>
  <c r="E26" i="34"/>
  <c r="E24" i="34"/>
  <c r="E22" i="34"/>
  <c r="E20" i="34"/>
  <c r="E19" i="34"/>
  <c r="E18" i="34"/>
  <c r="E17" i="34"/>
  <c r="E15" i="34"/>
  <c r="E14" i="34"/>
  <c r="E53" i="38"/>
  <c r="D53" i="38"/>
  <c r="F53" i="38" s="1"/>
  <c r="E52" i="38"/>
  <c r="D52" i="38"/>
  <c r="F52" i="38" s="1"/>
  <c r="E51" i="38"/>
  <c r="D51" i="38"/>
  <c r="E50" i="38"/>
  <c r="D50" i="38"/>
  <c r="F49" i="38"/>
  <c r="F51" i="38" s="1"/>
  <c r="F47" i="38"/>
  <c r="F46" i="38"/>
  <c r="F45" i="38"/>
  <c r="F44" i="38"/>
  <c r="F43" i="38"/>
  <c r="F42" i="38"/>
  <c r="F41" i="38"/>
  <c r="A15" i="38"/>
  <c r="F50" i="38" l="1"/>
  <c r="F23" i="20"/>
  <c r="F25" i="20"/>
  <c r="F26" i="20"/>
  <c r="F21" i="20"/>
  <c r="F22" i="20"/>
  <c r="F24" i="20"/>
  <c r="F27" i="3" l="1"/>
  <c r="F26" i="3"/>
  <c r="F25" i="3"/>
  <c r="F24" i="3"/>
  <c r="F23" i="3"/>
  <c r="F22" i="3"/>
  <c r="E40" i="29"/>
  <c r="E41" i="29"/>
  <c r="E42" i="29"/>
  <c r="E43" i="29"/>
  <c r="E44" i="29"/>
  <c r="E39" i="29"/>
  <c r="D40" i="29"/>
  <c r="D41" i="29"/>
  <c r="D42" i="29"/>
  <c r="D44" i="29"/>
  <c r="G23" i="8" l="1"/>
  <c r="G22" i="8"/>
  <c r="D43" i="29" l="1"/>
  <c r="H24" i="25" l="1"/>
  <c r="H23" i="25"/>
  <c r="E24" i="25"/>
  <c r="E23" i="25"/>
  <c r="H24" i="19" l="1"/>
  <c r="G24" i="19"/>
  <c r="H23" i="19"/>
  <c r="G23" i="19"/>
  <c r="J25" i="5" l="1"/>
  <c r="J24" i="5"/>
  <c r="D25" i="5"/>
  <c r="D24" i="5"/>
  <c r="I24" i="27" l="1"/>
  <c r="G24" i="27"/>
  <c r="E24" i="27"/>
  <c r="I23" i="27"/>
  <c r="G23" i="27"/>
  <c r="E23" i="27"/>
  <c r="I24" i="17"/>
  <c r="G24" i="17"/>
  <c r="I23" i="17"/>
  <c r="G23" i="17"/>
  <c r="E24" i="17"/>
  <c r="E23" i="17"/>
  <c r="H25" i="14"/>
  <c r="H24" i="14"/>
  <c r="D39" i="29" l="1"/>
  <c r="I25" i="27" l="1"/>
  <c r="B44" i="34" l="1"/>
  <c r="E44" i="34" s="1"/>
  <c r="A44" i="34"/>
  <c r="A6" i="25"/>
  <c r="A6" i="20"/>
  <c r="A6" i="19"/>
  <c r="A57" i="34" l="1"/>
  <c r="A56" i="34"/>
  <c r="A55" i="34"/>
  <c r="A46" i="34"/>
  <c r="A45" i="34"/>
  <c r="A43" i="34"/>
  <c r="A6" i="34" l="1"/>
  <c r="B56" i="34"/>
  <c r="E56" i="34" s="1"/>
  <c r="B46" i="34"/>
  <c r="E46" i="34" s="1"/>
  <c r="B45" i="34"/>
  <c r="E45" i="34" s="1"/>
  <c r="A6" i="33"/>
  <c r="A6" i="12"/>
  <c r="A6" i="5"/>
  <c r="A6" i="8"/>
  <c r="A6" i="27"/>
  <c r="A6" i="17"/>
  <c r="A8" i="14"/>
  <c r="A8" i="11"/>
  <c r="A16" i="6"/>
  <c r="D16" i="7"/>
  <c r="D15" i="10"/>
  <c r="A9" i="29"/>
  <c r="C14" i="34"/>
  <c r="B57" i="34"/>
  <c r="E57" i="34" s="1"/>
  <c r="B55" i="34"/>
  <c r="E55" i="34" s="1"/>
  <c r="B53" i="34"/>
  <c r="E53" i="34" s="1"/>
  <c r="B52" i="34"/>
  <c r="E52" i="34" s="1"/>
  <c r="B50" i="34"/>
  <c r="E50" i="34" s="1"/>
  <c r="B48" i="34"/>
  <c r="E48" i="34" s="1"/>
  <c r="B43" i="34"/>
  <c r="E43" i="34" s="1"/>
  <c r="B41" i="34"/>
  <c r="E41" i="34" s="1"/>
  <c r="B40" i="34"/>
  <c r="E40" i="34" l="1"/>
  <c r="C20" i="34"/>
  <c r="D20" i="34" s="1"/>
  <c r="F20" i="34" s="1"/>
  <c r="D19" i="33" s="1"/>
  <c r="C18" i="34"/>
  <c r="C29" i="34"/>
  <c r="C55" i="34" s="1"/>
  <c r="D55" i="34" s="1"/>
  <c r="G55" i="34" s="1"/>
  <c r="D37" i="33" s="1"/>
  <c r="C19" i="34"/>
  <c r="C17" i="34"/>
  <c r="C15" i="34"/>
  <c r="C30" i="34" s="1"/>
  <c r="C26" i="34"/>
  <c r="C40" i="34"/>
  <c r="C27" i="34"/>
  <c r="C31" i="34"/>
  <c r="C24" i="34"/>
  <c r="D14" i="34"/>
  <c r="F14" i="34" s="1"/>
  <c r="D14" i="33" s="1"/>
  <c r="C22" i="34"/>
  <c r="D29" i="34" l="1"/>
  <c r="F29" i="34" s="1"/>
  <c r="D24" i="33" s="1"/>
  <c r="D40" i="34"/>
  <c r="G40" i="34" s="1"/>
  <c r="D27" i="33" s="1"/>
  <c r="C46" i="34"/>
  <c r="D46" i="34" s="1"/>
  <c r="G46" i="34" s="1"/>
  <c r="D32" i="33" s="1"/>
  <c r="C44" i="34"/>
  <c r="D44" i="34" s="1"/>
  <c r="G44" i="34" s="1"/>
  <c r="D30" i="33" s="1"/>
  <c r="D18" i="34"/>
  <c r="F18" i="34" s="1"/>
  <c r="D17" i="33" s="1"/>
  <c r="C56" i="34"/>
  <c r="D56" i="34" s="1"/>
  <c r="G56" i="34" s="1"/>
  <c r="D38" i="33" s="1"/>
  <c r="D30" i="34"/>
  <c r="F30" i="34" s="1"/>
  <c r="D25" i="33" s="1"/>
  <c r="C45" i="34"/>
  <c r="D45" i="34" s="1"/>
  <c r="G45" i="34" s="1"/>
  <c r="D31" i="33" s="1"/>
  <c r="D19" i="34"/>
  <c r="F19" i="34" s="1"/>
  <c r="D18" i="33" s="1"/>
  <c r="C48" i="34"/>
  <c r="D48" i="34" s="1"/>
  <c r="G48" i="34" s="1"/>
  <c r="D33" i="33" s="1"/>
  <c r="D22" i="34"/>
  <c r="F22" i="34" s="1"/>
  <c r="D20" i="33" s="1"/>
  <c r="D31" i="34"/>
  <c r="F31" i="34" s="1"/>
  <c r="D26" i="33" s="1"/>
  <c r="C52" i="34"/>
  <c r="D52" i="34" s="1"/>
  <c r="G52" i="34" s="1"/>
  <c r="D35" i="33" s="1"/>
  <c r="D26" i="34"/>
  <c r="F26" i="34" s="1"/>
  <c r="D22" i="33" s="1"/>
  <c r="C57" i="34"/>
  <c r="D57" i="34" s="1"/>
  <c r="G57" i="34" s="1"/>
  <c r="D39" i="33" s="1"/>
  <c r="C53" i="34"/>
  <c r="D53" i="34" s="1"/>
  <c r="G53" i="34" s="1"/>
  <c r="D36" i="33" s="1"/>
  <c r="D27" i="34"/>
  <c r="F27" i="34" s="1"/>
  <c r="D23" i="33" s="1"/>
  <c r="C41" i="34"/>
  <c r="D41" i="34" s="1"/>
  <c r="G41" i="34" s="1"/>
  <c r="D28" i="33" s="1"/>
  <c r="D15" i="34"/>
  <c r="F15" i="34" s="1"/>
  <c r="D15" i="33" s="1"/>
  <c r="D24" i="34"/>
  <c r="F24" i="34" s="1"/>
  <c r="D21" i="33" s="1"/>
  <c r="C50" i="34"/>
  <c r="D50" i="34" s="1"/>
  <c r="G50" i="34" s="1"/>
  <c r="D34" i="33" s="1"/>
  <c r="C43" i="34"/>
  <c r="D43" i="34" s="1"/>
  <c r="G43" i="34" s="1"/>
  <c r="D29" i="33" s="1"/>
  <c r="D17" i="34"/>
  <c r="F17" i="34" s="1"/>
  <c r="D16" i="33" s="1"/>
  <c r="D23" i="7" l="1"/>
  <c r="D43" i="33"/>
  <c r="D42" i="33"/>
  <c r="D41" i="33"/>
  <c r="D40" i="33"/>
  <c r="D46" i="33" l="1"/>
  <c r="D45" i="33"/>
  <c r="A45" i="12" l="1"/>
  <c r="C45" i="12"/>
  <c r="D45" i="12"/>
  <c r="E45" i="12"/>
  <c r="A46" i="12"/>
  <c r="C46" i="12"/>
  <c r="D46" i="12"/>
  <c r="E46" i="12"/>
  <c r="A47" i="12"/>
  <c r="C47" i="12"/>
  <c r="D47" i="12"/>
  <c r="E47" i="12"/>
  <c r="A48" i="12"/>
  <c r="C48" i="12"/>
  <c r="D48" i="12"/>
  <c r="E48" i="12"/>
  <c r="A49" i="12"/>
  <c r="C49" i="12"/>
  <c r="D49" i="12"/>
  <c r="E49" i="12"/>
  <c r="A50" i="12"/>
  <c r="C50" i="12"/>
  <c r="D50" i="12"/>
  <c r="E50" i="12"/>
  <c r="E55" i="12" l="1"/>
  <c r="E53" i="12"/>
  <c r="E52" i="12"/>
  <c r="F47" i="12"/>
  <c r="G47" i="12" s="1"/>
  <c r="F46" i="12"/>
  <c r="G46" i="12" s="1"/>
  <c r="F45" i="12"/>
  <c r="F49" i="12"/>
  <c r="G49" i="12" s="1"/>
  <c r="F48" i="12"/>
  <c r="G48" i="12" s="1"/>
  <c r="E54" i="12"/>
  <c r="F50" i="12"/>
  <c r="G50" i="12" s="1"/>
  <c r="D47" i="33"/>
  <c r="D48" i="33"/>
  <c r="E21" i="12"/>
  <c r="E20" i="12"/>
  <c r="E19" i="12"/>
  <c r="E18" i="12"/>
  <c r="E17" i="12"/>
  <c r="E16" i="12"/>
  <c r="K21" i="12"/>
  <c r="K20" i="12"/>
  <c r="K19" i="12"/>
  <c r="K18" i="12"/>
  <c r="K17" i="12"/>
  <c r="K16" i="12"/>
  <c r="E24" i="12" l="1"/>
  <c r="E23" i="12"/>
  <c r="K24" i="12"/>
  <c r="K23" i="12"/>
  <c r="G45" i="12"/>
  <c r="F53" i="12"/>
  <c r="F52" i="12"/>
  <c r="F54" i="12"/>
  <c r="F55" i="12"/>
  <c r="G53" i="12" l="1"/>
  <c r="G52" i="12"/>
  <c r="G54" i="12"/>
  <c r="G55" i="12"/>
  <c r="D18" i="25"/>
  <c r="C18" i="25"/>
  <c r="B18" i="25"/>
  <c r="D17" i="25"/>
  <c r="C17" i="25"/>
  <c r="B17" i="25"/>
  <c r="D16" i="25"/>
  <c r="C16" i="25"/>
  <c r="B16" i="25"/>
  <c r="E23" i="20"/>
  <c r="C23" i="20"/>
  <c r="B23" i="20"/>
  <c r="A23" i="20"/>
  <c r="E22" i="20"/>
  <c r="C22" i="20"/>
  <c r="B22" i="20"/>
  <c r="A22" i="20"/>
  <c r="E21" i="20"/>
  <c r="C21" i="20"/>
  <c r="B21" i="20"/>
  <c r="A21" i="20"/>
  <c r="D19" i="19"/>
  <c r="C19" i="19"/>
  <c r="B19" i="19"/>
  <c r="A19" i="19"/>
  <c r="D18" i="19"/>
  <c r="C18" i="19"/>
  <c r="B18" i="19"/>
  <c r="A18" i="19"/>
  <c r="D17" i="19"/>
  <c r="C17" i="19"/>
  <c r="B17" i="19"/>
  <c r="A17" i="19"/>
  <c r="D18" i="12"/>
  <c r="J18" i="12" s="1"/>
  <c r="L18" i="12" s="1"/>
  <c r="M18" i="12" s="1"/>
  <c r="C18" i="12"/>
  <c r="I18" i="12" s="1"/>
  <c r="A18" i="12"/>
  <c r="D17" i="12"/>
  <c r="F17" i="12" s="1"/>
  <c r="G17" i="12" s="1"/>
  <c r="C17" i="12"/>
  <c r="I17" i="12" s="1"/>
  <c r="A17" i="12"/>
  <c r="D16" i="12"/>
  <c r="C16" i="12"/>
  <c r="I16" i="12" s="1"/>
  <c r="A16" i="12"/>
  <c r="C19" i="5"/>
  <c r="I19" i="5" s="1"/>
  <c r="L19" i="5" s="1"/>
  <c r="M19" i="5" s="1"/>
  <c r="B19" i="5"/>
  <c r="H19" i="5" s="1"/>
  <c r="A19" i="5"/>
  <c r="C18" i="5"/>
  <c r="I18" i="5" s="1"/>
  <c r="B18" i="5"/>
  <c r="H18" i="5" s="1"/>
  <c r="A18" i="5"/>
  <c r="C17" i="5"/>
  <c r="B17" i="5"/>
  <c r="H17" i="5" s="1"/>
  <c r="A17" i="5"/>
  <c r="E17" i="8"/>
  <c r="D17" i="8"/>
  <c r="C17" i="8"/>
  <c r="B17" i="8"/>
  <c r="A17" i="8"/>
  <c r="E16" i="8"/>
  <c r="D16" i="8"/>
  <c r="C16" i="8"/>
  <c r="B16" i="8"/>
  <c r="A16" i="8"/>
  <c r="E15" i="8"/>
  <c r="D15" i="8"/>
  <c r="C15" i="8"/>
  <c r="B15" i="8"/>
  <c r="A15" i="8"/>
  <c r="K18" i="27"/>
  <c r="D18" i="27"/>
  <c r="J18" i="27" s="1"/>
  <c r="C18" i="27"/>
  <c r="B18" i="27"/>
  <c r="A18" i="27"/>
  <c r="K17" i="27"/>
  <c r="D17" i="27"/>
  <c r="J17" i="27" s="1"/>
  <c r="C17" i="27"/>
  <c r="B17" i="27"/>
  <c r="A17" i="27"/>
  <c r="K16" i="27"/>
  <c r="D16" i="27"/>
  <c r="C16" i="27"/>
  <c r="B16" i="27"/>
  <c r="A16" i="27"/>
  <c r="K18" i="17"/>
  <c r="D18" i="17"/>
  <c r="J18" i="17" s="1"/>
  <c r="C18" i="17"/>
  <c r="B18" i="17"/>
  <c r="A18" i="17"/>
  <c r="K17" i="17"/>
  <c r="D17" i="17"/>
  <c r="J17" i="17" s="1"/>
  <c r="C17" i="17"/>
  <c r="B17" i="17"/>
  <c r="A17" i="17"/>
  <c r="D16" i="17"/>
  <c r="J16" i="17" s="1"/>
  <c r="C16" i="17"/>
  <c r="B16" i="17"/>
  <c r="A16" i="17"/>
  <c r="C20" i="14"/>
  <c r="B20" i="14"/>
  <c r="A20" i="14"/>
  <c r="C19" i="14"/>
  <c r="B19" i="14"/>
  <c r="A19" i="14"/>
  <c r="C18" i="14"/>
  <c r="B18" i="14"/>
  <c r="A18" i="14"/>
  <c r="F22" i="11"/>
  <c r="H22" i="11" s="1"/>
  <c r="J22" i="11" s="1"/>
  <c r="B22" i="11"/>
  <c r="A22" i="11"/>
  <c r="F21" i="11"/>
  <c r="H21" i="11" s="1"/>
  <c r="B21" i="11"/>
  <c r="A21" i="11"/>
  <c r="F20" i="11"/>
  <c r="H20" i="11" s="1"/>
  <c r="B20" i="11"/>
  <c r="A20" i="11"/>
  <c r="C27" i="29"/>
  <c r="B27" i="29"/>
  <c r="A27" i="29"/>
  <c r="C26" i="29"/>
  <c r="B26" i="29"/>
  <c r="A26" i="29"/>
  <c r="C25" i="29"/>
  <c r="B25" i="29"/>
  <c r="A25" i="29"/>
  <c r="C24" i="29"/>
  <c r="C41" i="29" s="1"/>
  <c r="B24" i="29"/>
  <c r="B41" i="29" s="1"/>
  <c r="A24" i="29"/>
  <c r="A41" i="29" s="1"/>
  <c r="C23" i="29"/>
  <c r="C40" i="29" s="1"/>
  <c r="B23" i="29"/>
  <c r="B40" i="29" s="1"/>
  <c r="A23" i="29"/>
  <c r="A40" i="29" s="1"/>
  <c r="C22" i="29"/>
  <c r="C39" i="29" s="1"/>
  <c r="B22" i="29"/>
  <c r="B39" i="29" s="1"/>
  <c r="A22" i="29"/>
  <c r="A39" i="29" s="1"/>
  <c r="E39" i="3"/>
  <c r="E38" i="3"/>
  <c r="D38" i="3"/>
  <c r="E37" i="3"/>
  <c r="D37" i="3"/>
  <c r="D22" i="29" s="1"/>
  <c r="C42" i="3"/>
  <c r="B42" i="3"/>
  <c r="A42" i="3"/>
  <c r="C41" i="3"/>
  <c r="B41" i="3"/>
  <c r="A41" i="3"/>
  <c r="C40" i="3"/>
  <c r="B40" i="3"/>
  <c r="A40" i="3"/>
  <c r="C39" i="3"/>
  <c r="B39" i="3"/>
  <c r="A39" i="3"/>
  <c r="C38" i="3"/>
  <c r="B38" i="3"/>
  <c r="A38" i="3"/>
  <c r="C37" i="3"/>
  <c r="B37" i="3"/>
  <c r="A37" i="3"/>
  <c r="E19" i="19" l="1"/>
  <c r="D24" i="29"/>
  <c r="F24" i="29" s="1"/>
  <c r="E18" i="19"/>
  <c r="D23" i="29"/>
  <c r="J16" i="27"/>
  <c r="E17" i="5"/>
  <c r="J16" i="12"/>
  <c r="F16" i="25"/>
  <c r="I16" i="25"/>
  <c r="F17" i="25"/>
  <c r="G17" i="25" s="1"/>
  <c r="I17" i="25"/>
  <c r="J17" i="25" s="1"/>
  <c r="F18" i="25"/>
  <c r="G18" i="25" s="1"/>
  <c r="I18" i="25"/>
  <c r="J18" i="25" s="1"/>
  <c r="I22" i="11"/>
  <c r="K22" i="11" s="1"/>
  <c r="L22" i="11" s="1"/>
  <c r="I20" i="11"/>
  <c r="F18" i="17"/>
  <c r="F17" i="17"/>
  <c r="F17" i="27"/>
  <c r="H39" i="3"/>
  <c r="I39" i="3" s="1"/>
  <c r="F18" i="12"/>
  <c r="G18" i="12" s="1"/>
  <c r="E18" i="5"/>
  <c r="F18" i="5" s="1"/>
  <c r="F16" i="27"/>
  <c r="F18" i="27"/>
  <c r="E19" i="5"/>
  <c r="F19" i="5" s="1"/>
  <c r="F16" i="17"/>
  <c r="F16" i="12"/>
  <c r="F22" i="29"/>
  <c r="F23" i="29"/>
  <c r="E17" i="19"/>
  <c r="J17" i="12"/>
  <c r="L17" i="12" s="1"/>
  <c r="M17" i="12" s="1"/>
  <c r="I17" i="5"/>
  <c r="H16" i="27"/>
  <c r="H17" i="27"/>
  <c r="H18" i="27"/>
  <c r="H16" i="17"/>
  <c r="H17" i="17"/>
  <c r="H18" i="17"/>
  <c r="J20" i="11"/>
  <c r="I21" i="11"/>
  <c r="J21" i="11"/>
  <c r="H37" i="3"/>
  <c r="I37" i="3" s="1"/>
  <c r="J39" i="3" l="1"/>
  <c r="L17" i="5"/>
  <c r="G16" i="12"/>
  <c r="F17" i="5"/>
  <c r="G16" i="25"/>
  <c r="L16" i="12"/>
  <c r="J16" i="25"/>
  <c r="F19" i="19"/>
  <c r="J19" i="19" s="1"/>
  <c r="D23" i="20"/>
  <c r="D22" i="20"/>
  <c r="F18" i="19"/>
  <c r="J18" i="19" s="1"/>
  <c r="D21" i="20"/>
  <c r="F17" i="19"/>
  <c r="K20" i="11"/>
  <c r="L20" i="11" s="1"/>
  <c r="K21" i="11"/>
  <c r="L21" i="11" s="1"/>
  <c r="F41" i="29"/>
  <c r="H38" i="3"/>
  <c r="F40" i="29"/>
  <c r="F39" i="29"/>
  <c r="J37" i="3"/>
  <c r="M16" i="12" l="1"/>
  <c r="M17" i="5"/>
  <c r="I19" i="19"/>
  <c r="I18" i="19"/>
  <c r="I38" i="3"/>
  <c r="J38" i="3"/>
  <c r="J17" i="19"/>
  <c r="I17" i="19"/>
  <c r="G25" i="8"/>
  <c r="G24" i="8"/>
  <c r="E26" i="20" l="1"/>
  <c r="E25" i="20"/>
  <c r="E24" i="20"/>
  <c r="E40" i="3" l="1"/>
  <c r="D21" i="27" l="1"/>
  <c r="D20" i="27"/>
  <c r="D19" i="27"/>
  <c r="C26" i="20"/>
  <c r="B26" i="20"/>
  <c r="A26" i="20"/>
  <c r="C25" i="20"/>
  <c r="B25" i="20"/>
  <c r="A25" i="20"/>
  <c r="C24" i="20"/>
  <c r="B24" i="20"/>
  <c r="A24" i="20"/>
  <c r="D21" i="17"/>
  <c r="D20" i="17"/>
  <c r="D19" i="17"/>
  <c r="H19" i="17" s="1"/>
  <c r="D22" i="19"/>
  <c r="D21" i="19"/>
  <c r="D20" i="19"/>
  <c r="C22" i="19"/>
  <c r="B22" i="19"/>
  <c r="A22" i="19"/>
  <c r="C21" i="19"/>
  <c r="B21" i="19"/>
  <c r="A21" i="19"/>
  <c r="C20" i="19"/>
  <c r="B20" i="19"/>
  <c r="A20" i="19"/>
  <c r="A21" i="12"/>
  <c r="A20" i="12"/>
  <c r="A19" i="12"/>
  <c r="C21" i="12"/>
  <c r="I21" i="12" s="1"/>
  <c r="C20" i="12"/>
  <c r="I20" i="12" s="1"/>
  <c r="C19" i="12"/>
  <c r="I19" i="12" s="1"/>
  <c r="D21" i="12"/>
  <c r="D20" i="12"/>
  <c r="D19" i="12"/>
  <c r="C22" i="5"/>
  <c r="B22" i="5"/>
  <c r="H22" i="5" s="1"/>
  <c r="A22" i="5"/>
  <c r="C21" i="5"/>
  <c r="B21" i="5"/>
  <c r="H21" i="5" s="1"/>
  <c r="A21" i="5"/>
  <c r="C20" i="5"/>
  <c r="B20" i="5"/>
  <c r="H20" i="5" s="1"/>
  <c r="A20" i="5"/>
  <c r="D20" i="8"/>
  <c r="D19" i="8"/>
  <c r="D18" i="8"/>
  <c r="H19" i="27" l="1"/>
  <c r="D23" i="27"/>
  <c r="D24" i="27"/>
  <c r="C25" i="5"/>
  <c r="C24" i="5"/>
  <c r="D23" i="12"/>
  <c r="D24" i="12"/>
  <c r="D24" i="20"/>
  <c r="F20" i="19"/>
  <c r="D21" i="25"/>
  <c r="I21" i="25" s="1"/>
  <c r="J21" i="25" s="1"/>
  <c r="D20" i="25"/>
  <c r="I20" i="25" s="1"/>
  <c r="J20" i="25" s="1"/>
  <c r="D19" i="25"/>
  <c r="I19" i="25" s="1"/>
  <c r="C21" i="25"/>
  <c r="B21" i="25"/>
  <c r="C20" i="25"/>
  <c r="B20" i="25"/>
  <c r="C19" i="25"/>
  <c r="B19" i="25"/>
  <c r="C20" i="8"/>
  <c r="B20" i="8"/>
  <c r="A20" i="8"/>
  <c r="C19" i="8"/>
  <c r="B19" i="8"/>
  <c r="A19" i="8"/>
  <c r="A18" i="8"/>
  <c r="B18" i="8"/>
  <c r="C18" i="8"/>
  <c r="C21" i="27"/>
  <c r="B21" i="27"/>
  <c r="A21" i="27"/>
  <c r="C20" i="27"/>
  <c r="B20" i="27"/>
  <c r="A20" i="27"/>
  <c r="C19" i="27"/>
  <c r="B19" i="27"/>
  <c r="A19" i="27"/>
  <c r="C21" i="17"/>
  <c r="B21" i="17"/>
  <c r="A21" i="17"/>
  <c r="C20" i="17"/>
  <c r="B20" i="17"/>
  <c r="A20" i="17"/>
  <c r="C19" i="17"/>
  <c r="B19" i="17"/>
  <c r="A19" i="17"/>
  <c r="J19" i="25" l="1"/>
  <c r="I23" i="25"/>
  <c r="I24" i="25"/>
  <c r="C23" i="14"/>
  <c r="B23" i="14"/>
  <c r="A23" i="14"/>
  <c r="C22" i="14"/>
  <c r="B22" i="14"/>
  <c r="A22" i="14"/>
  <c r="C21" i="14"/>
  <c r="B21" i="14"/>
  <c r="A21" i="14"/>
  <c r="B23" i="11"/>
  <c r="A23" i="11"/>
  <c r="J24" i="25" l="1"/>
  <c r="J23" i="25"/>
  <c r="B25" i="11"/>
  <c r="A25" i="11"/>
  <c r="B24" i="11"/>
  <c r="A24" i="11"/>
  <c r="C44" i="29"/>
  <c r="B44" i="29"/>
  <c r="A44" i="29"/>
  <c r="C43" i="29"/>
  <c r="B43" i="29"/>
  <c r="A43" i="29"/>
  <c r="C42" i="29"/>
  <c r="B42" i="29"/>
  <c r="A42" i="29"/>
  <c r="G64" i="10" l="1"/>
  <c r="K19" i="17"/>
  <c r="B53" i="29"/>
  <c r="I26" i="27"/>
  <c r="G26" i="27"/>
  <c r="E26" i="27"/>
  <c r="G25" i="27"/>
  <c r="E25" i="27"/>
  <c r="K21" i="27"/>
  <c r="H21" i="27"/>
  <c r="K20" i="27"/>
  <c r="J20" i="27"/>
  <c r="K19" i="27"/>
  <c r="K21" i="17"/>
  <c r="K20" i="17"/>
  <c r="K25" i="27" l="1"/>
  <c r="G15" i="38" s="1"/>
  <c r="K23" i="17"/>
  <c r="K24" i="27"/>
  <c r="K23" i="27"/>
  <c r="K24" i="17"/>
  <c r="G21" i="20"/>
  <c r="H21" i="20" s="1"/>
  <c r="G23" i="20"/>
  <c r="H23" i="20" s="1"/>
  <c r="G22" i="20"/>
  <c r="H22" i="20" s="1"/>
  <c r="D48" i="10"/>
  <c r="J21" i="27"/>
  <c r="J19" i="27"/>
  <c r="H20" i="27"/>
  <c r="K26" i="27"/>
  <c r="G16" i="38" s="1"/>
  <c r="F20" i="27"/>
  <c r="D25" i="27"/>
  <c r="D26" i="27"/>
  <c r="K25" i="17"/>
  <c r="F15" i="38" s="1"/>
  <c r="K26" i="17"/>
  <c r="F16" i="38" s="1"/>
  <c r="J24" i="27" l="1"/>
  <c r="J23" i="27"/>
  <c r="F24" i="27"/>
  <c r="F23" i="27"/>
  <c r="H23" i="27"/>
  <c r="H24" i="27"/>
  <c r="J26" i="27"/>
  <c r="J25" i="27"/>
  <c r="F26" i="27"/>
  <c r="F25" i="27"/>
  <c r="H26" i="27"/>
  <c r="H25" i="27"/>
  <c r="I26" i="17" l="1"/>
  <c r="I25" i="17"/>
  <c r="G31" i="10" l="1"/>
  <c r="J26" i="25" l="1"/>
  <c r="J25" i="25"/>
  <c r="I26" i="25"/>
  <c r="I25" i="25"/>
  <c r="G26" i="20"/>
  <c r="F19" i="25"/>
  <c r="F21" i="25"/>
  <c r="G21" i="25" s="1"/>
  <c r="F20" i="25"/>
  <c r="G20" i="25" s="1"/>
  <c r="H26" i="19"/>
  <c r="G26" i="19"/>
  <c r="H25" i="19"/>
  <c r="G25" i="19"/>
  <c r="G26" i="17"/>
  <c r="G25" i="17"/>
  <c r="J21" i="17"/>
  <c r="J20" i="17"/>
  <c r="J19" i="17"/>
  <c r="E26" i="17"/>
  <c r="E25" i="17"/>
  <c r="H27" i="14"/>
  <c r="F25" i="11"/>
  <c r="H25" i="11" s="1"/>
  <c r="F24" i="11"/>
  <c r="H24" i="11" s="1"/>
  <c r="F23" i="11"/>
  <c r="H23" i="11" s="1"/>
  <c r="E20" i="8"/>
  <c r="E19" i="8"/>
  <c r="E18" i="8"/>
  <c r="I22" i="5"/>
  <c r="L22" i="5" s="1"/>
  <c r="I21" i="5"/>
  <c r="L21" i="5" s="1"/>
  <c r="I20" i="5"/>
  <c r="J32" i="12"/>
  <c r="D23" i="10" s="1"/>
  <c r="I32" i="12"/>
  <c r="D56" i="10"/>
  <c r="K26" i="12"/>
  <c r="E26" i="12"/>
  <c r="K25" i="12"/>
  <c r="E25" i="12"/>
  <c r="J21" i="12"/>
  <c r="J19" i="12"/>
  <c r="G19" i="25" l="1"/>
  <c r="G25" i="25" s="1"/>
  <c r="F23" i="25"/>
  <c r="F24" i="25"/>
  <c r="L20" i="5"/>
  <c r="I24" i="5"/>
  <c r="I25" i="5"/>
  <c r="J24" i="17"/>
  <c r="J23" i="17"/>
  <c r="J23" i="11"/>
  <c r="I23" i="11"/>
  <c r="J26" i="17"/>
  <c r="J25" i="17"/>
  <c r="L21" i="12"/>
  <c r="M21" i="12" s="1"/>
  <c r="F19" i="17"/>
  <c r="H21" i="17"/>
  <c r="F21" i="17"/>
  <c r="H20" i="17"/>
  <c r="F20" i="17"/>
  <c r="L19" i="12"/>
  <c r="J20" i="12"/>
  <c r="F26" i="25"/>
  <c r="F25" i="25"/>
  <c r="D25" i="12"/>
  <c r="I27" i="5"/>
  <c r="I26" i="5"/>
  <c r="F20" i="12"/>
  <c r="G20" i="12" s="1"/>
  <c r="F21" i="12"/>
  <c r="G21" i="12" s="1"/>
  <c r="D26" i="12"/>
  <c r="F19" i="12"/>
  <c r="J24" i="12" l="1"/>
  <c r="G26" i="25"/>
  <c r="G19" i="12"/>
  <c r="F24" i="12"/>
  <c r="F23" i="12"/>
  <c r="J23" i="12"/>
  <c r="L25" i="5"/>
  <c r="L24" i="5"/>
  <c r="G23" i="25"/>
  <c r="G24" i="25"/>
  <c r="H24" i="17"/>
  <c r="H23" i="17"/>
  <c r="M19" i="12"/>
  <c r="F23" i="17"/>
  <c r="F24" i="17"/>
  <c r="D26" i="20"/>
  <c r="H26" i="20" s="1"/>
  <c r="F22" i="19"/>
  <c r="J22" i="19" s="1"/>
  <c r="F21" i="19"/>
  <c r="J21" i="19" s="1"/>
  <c r="D25" i="20"/>
  <c r="I20" i="19"/>
  <c r="K23" i="11"/>
  <c r="L23" i="11" s="1"/>
  <c r="F25" i="17"/>
  <c r="F26" i="17"/>
  <c r="L20" i="12"/>
  <c r="M20" i="12" s="1"/>
  <c r="H25" i="17"/>
  <c r="H26" i="17"/>
  <c r="J26" i="12"/>
  <c r="J25" i="12"/>
  <c r="G25" i="12"/>
  <c r="F26" i="12"/>
  <c r="F25" i="12"/>
  <c r="G26" i="12"/>
  <c r="L24" i="12" l="1"/>
  <c r="F24" i="19"/>
  <c r="F23" i="19"/>
  <c r="L23" i="12"/>
  <c r="M23" i="12"/>
  <c r="M24" i="12"/>
  <c r="G23" i="12"/>
  <c r="G24" i="12"/>
  <c r="J20" i="19"/>
  <c r="I22" i="19"/>
  <c r="I21" i="19"/>
  <c r="H29" i="20"/>
  <c r="L26" i="12"/>
  <c r="L25" i="12"/>
  <c r="F26" i="19"/>
  <c r="F25" i="19"/>
  <c r="M26" i="12"/>
  <c r="M25" i="12"/>
  <c r="I24" i="19" l="1"/>
  <c r="J24" i="19"/>
  <c r="J23" i="19"/>
  <c r="I23" i="19"/>
  <c r="J26" i="19"/>
  <c r="J25" i="19"/>
  <c r="I26" i="19"/>
  <c r="I25" i="19"/>
  <c r="J27" i="5"/>
  <c r="J26" i="5"/>
  <c r="J25" i="11"/>
  <c r="J24" i="11"/>
  <c r="I25" i="11"/>
  <c r="I24" i="11"/>
  <c r="F56" i="10"/>
  <c r="C58" i="10"/>
  <c r="C56" i="10"/>
  <c r="F58" i="10"/>
  <c r="F25" i="10"/>
  <c r="C25" i="10"/>
  <c r="F23" i="10"/>
  <c r="C23" i="10"/>
  <c r="K25" i="11" l="1"/>
  <c r="L25" i="11" s="1"/>
  <c r="K24" i="11"/>
  <c r="L24" i="11" s="1"/>
  <c r="G25" i="10"/>
  <c r="C27" i="10"/>
  <c r="C60" i="10"/>
  <c r="G23" i="10"/>
  <c r="G56" i="10"/>
  <c r="G58" i="10"/>
  <c r="L28" i="11" l="1"/>
  <c r="L27" i="11"/>
  <c r="F42" i="29"/>
  <c r="L29" i="11"/>
  <c r="L30" i="11"/>
  <c r="G27" i="10"/>
  <c r="G60" i="10"/>
  <c r="M20" i="5"/>
  <c r="M21" i="5"/>
  <c r="M22" i="5"/>
  <c r="M25" i="5" l="1"/>
  <c r="M24" i="5"/>
  <c r="F43" i="29"/>
  <c r="F44" i="29"/>
  <c r="L26" i="5"/>
  <c r="L27" i="5"/>
  <c r="F45" i="29" l="1"/>
  <c r="D53" i="29" s="1"/>
  <c r="M27" i="5"/>
  <c r="M26" i="5"/>
  <c r="E41" i="3"/>
  <c r="C26" i="5" l="1"/>
  <c r="C27" i="5"/>
  <c r="D42" i="3" l="1"/>
  <c r="D41" i="3"/>
  <c r="D40" i="3"/>
  <c r="D27" i="29" l="1"/>
  <c r="F27" i="29" s="1"/>
  <c r="D25" i="29"/>
  <c r="F25" i="29" s="1"/>
  <c r="D26" i="29"/>
  <c r="F26" i="29" s="1"/>
  <c r="E21" i="19"/>
  <c r="E22" i="19"/>
  <c r="E20" i="19"/>
  <c r="H41" i="3"/>
  <c r="J41" i="3" s="1"/>
  <c r="H40" i="3"/>
  <c r="J40" i="3" s="1"/>
  <c r="C23" i="7" l="1"/>
  <c r="C52" i="29" s="1"/>
  <c r="C25" i="7"/>
  <c r="C53" i="29" s="1"/>
  <c r="E53" i="29" s="1"/>
  <c r="D25" i="7" l="1"/>
  <c r="E42" i="3" l="1"/>
  <c r="H42" i="3" s="1"/>
  <c r="J42" i="3" s="1"/>
  <c r="J45" i="3" l="1"/>
  <c r="J44" i="3"/>
  <c r="F28" i="29"/>
  <c r="D52" i="29" s="1"/>
  <c r="E52" i="29" s="1"/>
  <c r="E54" i="29" s="1"/>
  <c r="I42" i="3"/>
  <c r="I41" i="3"/>
  <c r="D27" i="5" l="1"/>
  <c r="D26" i="5"/>
  <c r="I40" i="3" l="1"/>
  <c r="I44" i="3" l="1"/>
  <c r="I45" i="3"/>
  <c r="I46" i="3"/>
  <c r="J47" i="3"/>
  <c r="E22" i="5" l="1"/>
  <c r="F22" i="5" s="1"/>
  <c r="E21" i="5"/>
  <c r="F21" i="5" s="1"/>
  <c r="E20" i="5"/>
  <c r="F20" i="5" l="1"/>
  <c r="E24" i="5"/>
  <c r="E25" i="5"/>
  <c r="E26" i="5"/>
  <c r="J46" i="3"/>
  <c r="E27" i="5"/>
  <c r="I47" i="3"/>
  <c r="F26" i="5"/>
  <c r="F25" i="5" l="1"/>
  <c r="F24" i="5"/>
  <c r="F23" i="7"/>
  <c r="G23" i="7" s="1"/>
  <c r="F27" i="5"/>
  <c r="C27" i="7"/>
  <c r="F25" i="7"/>
  <c r="G25" i="7" s="1"/>
  <c r="G27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Moss, Brittney (DOR)</author>
    <author>rev4175</author>
    <author>rev3569</author>
    <author>Sheeks, David (DOR)</author>
    <author>Travis, James (DOR)</author>
  </authors>
  <commentList>
    <comment ref="H22" authorId="0" shapeId="0" xr:uid="{485746A7-256A-4046-96DD-AC48069007D1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177 of pdf</t>
        </r>
      </text>
    </comment>
    <comment ref="I22" authorId="0" shapeId="0" xr:uid="{3DBDA281-4814-4C33-BB1E-5922422D5727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177 of pdf</t>
        </r>
      </text>
    </comment>
    <comment ref="J22" authorId="0" shapeId="0" xr:uid="{F7553F84-8552-475C-8AF9-2AC64D70E775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177 of pdf</t>
        </r>
      </text>
    </comment>
    <comment ref="H23" authorId="0" shapeId="0" xr:uid="{F418EE80-BAC3-4CAA-A821-F78486E1DA5B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140 of pdf</t>
        </r>
      </text>
    </comment>
    <comment ref="I23" authorId="0" shapeId="0" xr:uid="{A58C98E0-4EDB-41B4-B76B-404D32B7CCB4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140 of pdf</t>
        </r>
      </text>
    </comment>
    <comment ref="J23" authorId="0" shapeId="0" xr:uid="{82910B57-4002-4D07-9FC1-26ECCB0AA49B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140 of pdf</t>
        </r>
      </text>
    </comment>
    <comment ref="G24" authorId="1" shapeId="0" xr:uid="{2B2EB4F2-76D1-4A21-BD58-F8072CD01885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12/29 Close</t>
        </r>
      </text>
    </comment>
    <comment ref="H24" authorId="1" shapeId="0" xr:uid="{69F98A01-AC1B-4930-B8B9-7F0F4B752B8C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67 of pdf</t>
        </r>
      </text>
    </comment>
    <comment ref="J24" authorId="1" shapeId="0" xr:uid="{9927EE23-CC8E-480F-8FF2-23075FBCE148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67 of pdf</t>
        </r>
      </text>
    </comment>
    <comment ref="G25" authorId="1" shapeId="0" xr:uid="{CD7027B5-B5FA-4A68-BBD7-9CC47B7A042C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12/29 Close</t>
        </r>
      </text>
    </comment>
    <comment ref="H25" authorId="1" shapeId="0" xr:uid="{039FE179-74F4-4729-BD59-D79B92476F46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84 of pdf</t>
        </r>
      </text>
    </comment>
    <comment ref="J25" authorId="1" shapeId="0" xr:uid="{55B05764-2FE6-48EE-AF58-D5E716977A19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84 of pdf</t>
        </r>
      </text>
    </comment>
    <comment ref="G26" authorId="1" shapeId="0" xr:uid="{6EAB1AB5-E962-41CF-9364-3AE7137B661F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12/29 Close</t>
        </r>
      </text>
    </comment>
    <comment ref="H26" authorId="1" shapeId="0" xr:uid="{DA5A2839-6ADA-4F07-A2F4-16A1A7A740CB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171 of pdf</t>
        </r>
      </text>
    </comment>
    <comment ref="I26" authorId="1" shapeId="0" xr:uid="{E2402EF8-6A40-41F1-A776-CB256557AC05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171 of pdf</t>
        </r>
      </text>
    </comment>
    <comment ref="J26" authorId="1" shapeId="0" xr:uid="{4B41A1DB-294F-4DB3-BB0F-F7AB0D01285A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171 of pdf</t>
        </r>
      </text>
    </comment>
    <comment ref="G27" authorId="1" shapeId="0" xr:uid="{56A1A7AC-85A2-4FCB-B0C0-DE431349C5B1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12/29 Close</t>
        </r>
      </text>
    </comment>
    <comment ref="H27" authorId="1" shapeId="0" xr:uid="{0E384A32-B621-4B2A-AF58-E90FC8FDBC16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90 of pdf</t>
        </r>
      </text>
    </comment>
    <comment ref="I27" authorId="1" shapeId="0" xr:uid="{B6723D66-6B45-4B4A-A030-DD4FBD79F224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90 of pdf</t>
        </r>
      </text>
    </comment>
    <comment ref="J27" authorId="1" shapeId="0" xr:uid="{363A7A7D-056E-4591-B26B-53D9C03FCBBF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90 of pdf</t>
        </r>
      </text>
    </comment>
    <comment ref="F33" authorId="2" shapeId="0" xr:uid="{CEF678F7-6580-4CF3-AC8E-A803AFF27478}">
      <text>
        <r>
          <rPr>
            <b/>
            <sz val="11"/>
            <color indexed="81"/>
            <rFont val="Tahoma"/>
            <family val="2"/>
          </rPr>
          <t>rev3569:</t>
        </r>
        <r>
          <rPr>
            <sz val="11"/>
            <color indexed="81"/>
            <rFont val="Tahoma"/>
            <family val="2"/>
          </rPr>
          <t xml:space="preserve">
identify present value in 10K</t>
        </r>
      </text>
    </comment>
    <comment ref="F37" authorId="0" shapeId="0" xr:uid="{DA2F5539-53F0-4764-85BD-4A4309E1FD93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192</t>
        </r>
      </text>
    </comment>
    <comment ref="F38" authorId="0" shapeId="0" xr:uid="{B53BD8CC-ADA2-41E3-8332-EB8B3112C135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200 of pdf
</t>
        </r>
      </text>
    </comment>
    <comment ref="G38" authorId="0" shapeId="0" xr:uid="{153D2258-3A8F-4D6A-8757-2C696172ABF3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195 of pdf</t>
        </r>
      </text>
    </comment>
    <comment ref="F39" authorId="3" shapeId="0" xr:uid="{C8D22943-25A9-47E2-8CD8-707285EEDB8D}">
      <text>
        <r>
          <rPr>
            <b/>
            <sz val="9"/>
            <color indexed="81"/>
            <rFont val="Tahoma"/>
            <family val="2"/>
          </rPr>
          <t>Sheeks, David (DOR):</t>
        </r>
        <r>
          <rPr>
            <sz val="9"/>
            <color indexed="81"/>
            <rFont val="Tahoma"/>
            <family val="2"/>
          </rPr>
          <t xml:space="preserve">
No operating leases per 10k</t>
        </r>
      </text>
    </comment>
    <comment ref="G39" authorId="4" shapeId="0" xr:uid="{BE0D282C-D65E-4973-9FCA-E11D06684586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71</t>
        </r>
      </text>
    </comment>
    <comment ref="F40" authorId="1" shapeId="0" xr:uid="{C5251429-4A72-4662-B7C5-4ED79BF45984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84 of pdf</t>
        </r>
      </text>
    </comment>
    <comment ref="G40" authorId="3" shapeId="0" xr:uid="{221FFBF2-F39C-4E6A-9109-2A64710F547B}">
      <text>
        <r>
          <rPr>
            <b/>
            <sz val="9"/>
            <color indexed="81"/>
            <rFont val="Tahoma"/>
            <family val="2"/>
          </rPr>
          <t>Rev4175(DOR):</t>
        </r>
        <r>
          <rPr>
            <sz val="9"/>
            <color indexed="81"/>
            <rFont val="Tahoma"/>
            <family val="2"/>
          </rPr>
          <t xml:space="preserve">
10k pg 110 of pdf
</t>
        </r>
      </text>
    </comment>
    <comment ref="F41" authorId="1" shapeId="0" xr:uid="{04E0EB10-87AA-4865-9AD2-4A21575E79F6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171 of pdf</t>
        </r>
      </text>
    </comment>
    <comment ref="G41" authorId="1" shapeId="0" xr:uid="{7790C66D-E227-4A13-B929-7A2D7F1639C6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216 of pdf</t>
        </r>
      </text>
    </comment>
    <comment ref="F42" authorId="1" shapeId="0" xr:uid="{8A2CD353-C379-48AC-8020-1570C5EA3393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125 of pdf</t>
        </r>
      </text>
    </comment>
    <comment ref="G42" authorId="1" shapeId="0" xr:uid="{9BA982D6-46B8-499A-8C92-DC0C4AF4E402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122 of pdf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rev4279</author>
    <author>Travis, James (DOR)</author>
  </authors>
  <commentList>
    <comment ref="E22" authorId="0" shapeId="0" xr:uid="{7D7619C7-F1B6-461D-85FA-06FF5E0B87F6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177 of pdf</t>
        </r>
      </text>
    </comment>
    <comment ref="E23" authorId="1" shapeId="0" xr:uid="{450B4772-D5C9-47EA-8D2D-294BEE8639B1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140 of pdf</t>
        </r>
      </text>
    </comment>
    <comment ref="E24" authorId="1" shapeId="0" xr:uid="{351ABA9E-C655-4E2C-BB86-9752B81301A7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67 of pdf</t>
        </r>
      </text>
    </comment>
    <comment ref="E25" authorId="1" shapeId="0" xr:uid="{822A3849-21E3-4B7A-933B-45BBBF6ECA0D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84 of pdf</t>
        </r>
      </text>
    </comment>
    <comment ref="E26" authorId="1" shapeId="0" xr:uid="{E7D71E79-1A1A-4285-BE58-66CC4695D739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171 of pdf</t>
        </r>
      </text>
    </comment>
    <comment ref="E27" authorId="1" shapeId="0" xr:uid="{0053CFF4-7C56-488B-B803-9DC833CE548A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90 of pdf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rev4279</author>
    <author>Travis, James (DOR)</author>
  </authors>
  <commentList>
    <comment ref="D20" authorId="0" shapeId="0" xr:uid="{D8190926-CF1E-410F-ADF3-7CE5741C7E7E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176 of pdf</t>
        </r>
      </text>
    </comment>
    <comment ref="E20" authorId="0" shapeId="0" xr:uid="{A0AE7BD1-3697-491A-AFE4-BD90E479E70A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F-5</t>
        </r>
      </text>
    </comment>
    <comment ref="G20" authorId="0" shapeId="0" xr:uid="{A6AE3D38-18E3-499E-AB45-AF0571B6573D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178 of pdf</t>
        </r>
      </text>
    </comment>
    <comment ref="D21" authorId="1" shapeId="0" xr:uid="{E5A5C836-4D2E-4AC9-85D9-117AE9107D84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156 of pdf</t>
        </r>
      </text>
    </comment>
    <comment ref="E21" authorId="1" shapeId="0" xr:uid="{29B3F89B-4BBD-411D-A091-A0FD7527AFB2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F-4</t>
        </r>
      </text>
    </comment>
    <comment ref="G21" authorId="1" shapeId="0" xr:uid="{3F108BA5-AF19-4F65-9542-6E194EEB86FB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156 of pdf</t>
        </r>
      </text>
    </comment>
    <comment ref="D22" authorId="1" shapeId="0" xr:uid="{E9646F85-5D8A-465A-ABAD-A618ECE6881B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79 of pdf</t>
        </r>
      </text>
    </comment>
    <comment ref="E22" authorId="1" shapeId="0" xr:uid="{65AFF4AB-6F66-4D87-8983-55A9AE44BDC5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76</t>
        </r>
      </text>
    </comment>
    <comment ref="G22" authorId="1" shapeId="0" xr:uid="{3D32F68D-7944-478C-B57A-B939629514FB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68 of pdf
</t>
        </r>
      </text>
    </comment>
    <comment ref="D23" authorId="1" shapeId="0" xr:uid="{20ADB6B8-5B5C-4AAC-B962-7FE1A3394596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107 of pdf</t>
        </r>
      </text>
    </comment>
    <comment ref="E23" authorId="1" shapeId="0" xr:uid="{2677FB87-26EE-4357-A97A-65B8DDF12150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80</t>
        </r>
      </text>
    </comment>
    <comment ref="G23" authorId="1" shapeId="0" xr:uid="{DE886C33-F725-4977-B5E7-9957ABD41BCE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82</t>
        </r>
      </text>
    </comment>
    <comment ref="D24" authorId="1" shapeId="0" xr:uid="{9A10B259-77D0-407E-81D7-6B46F1C9E994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171 of pdf</t>
        </r>
      </text>
    </comment>
    <comment ref="E24" authorId="1" shapeId="0" xr:uid="{8B36D4B8-9A66-444F-AEBC-1D1806CC87FD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F-5</t>
        </r>
      </text>
    </comment>
    <comment ref="G24" authorId="1" shapeId="0" xr:uid="{41F6AE5B-19E1-4AC3-B8BA-AE34F5F82276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172 of pdf</t>
        </r>
      </text>
    </comment>
    <comment ref="D25" authorId="1" shapeId="0" xr:uid="{FB934ED8-1F9E-4B02-9EF2-04859DF7D42E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90 of pdf</t>
        </r>
      </text>
    </comment>
    <comment ref="E25" authorId="1" shapeId="0" xr:uid="{D5E97A5D-A43C-496E-A22E-823FFF4CB4BC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89</t>
        </r>
      </text>
    </comment>
    <comment ref="G25" authorId="1" shapeId="0" xr:uid="{767DE133-BDF5-4C99-9776-FD7C8622D6B6}">
      <text>
        <r>
          <rPr>
            <b/>
            <sz val="9"/>
            <color indexed="81"/>
            <rFont val="Tahoma"/>
            <family val="2"/>
          </rPr>
          <t>Travis, James (DOR):</t>
        </r>
        <r>
          <rPr>
            <sz val="9"/>
            <color indexed="81"/>
            <rFont val="Tahoma"/>
            <family val="2"/>
          </rPr>
          <t xml:space="preserve">
10-K page 89 of pdf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<sst xmlns="http://schemas.openxmlformats.org/spreadsheetml/2006/main" count="1482" uniqueCount="508">
  <si>
    <t xml:space="preserve"> </t>
  </si>
  <si>
    <t>KENTUCKY DEPARTMENT OF REVENUE</t>
  </si>
  <si>
    <t>Company</t>
  </si>
  <si>
    <t>Ticker</t>
  </si>
  <si>
    <t>Symbol</t>
  </si>
  <si>
    <t xml:space="preserve">Industry </t>
  </si>
  <si>
    <t>Group</t>
  </si>
  <si>
    <t>VL</t>
  </si>
  <si>
    <t>10K / SEC</t>
  </si>
  <si>
    <t>DIVISION OF STATE VALUATION, PUBLIC SERVICE BRANCH</t>
  </si>
  <si>
    <t>Stock Price</t>
  </si>
  <si>
    <t>Preferred Stock</t>
  </si>
  <si>
    <t>Common Stock</t>
  </si>
  <si>
    <t>4th Qtr</t>
  </si>
  <si>
    <t>FMV</t>
  </si>
  <si>
    <t>Calculated</t>
  </si>
  <si>
    <t>Total Market Value</t>
  </si>
  <si>
    <t>% Common Stock</t>
  </si>
  <si>
    <t>Median</t>
  </si>
  <si>
    <t>Average</t>
  </si>
  <si>
    <t xml:space="preserve">Financial </t>
  </si>
  <si>
    <t xml:space="preserve">Actual </t>
  </si>
  <si>
    <t>Strength</t>
  </si>
  <si>
    <t>Tax Rate</t>
  </si>
  <si>
    <t>A</t>
  </si>
  <si>
    <t>B+</t>
  </si>
  <si>
    <t>Computed</t>
  </si>
  <si>
    <t>Price</t>
  </si>
  <si>
    <t>Multiple</t>
  </si>
  <si>
    <t>Inverse</t>
  </si>
  <si>
    <t>KENTUCKY</t>
  </si>
  <si>
    <t xml:space="preserve">Source of </t>
  </si>
  <si>
    <t>Capital</t>
  </si>
  <si>
    <t>Cost of Capital</t>
  </si>
  <si>
    <t>Weighted</t>
  </si>
  <si>
    <t>Structure</t>
  </si>
  <si>
    <t>Rate</t>
  </si>
  <si>
    <t>After Tax</t>
  </si>
  <si>
    <t>Cost</t>
  </si>
  <si>
    <t>EQUITY</t>
  </si>
  <si>
    <t>-</t>
  </si>
  <si>
    <t>DEBT</t>
  </si>
  <si>
    <t>TOTAL</t>
  </si>
  <si>
    <t>A+</t>
  </si>
  <si>
    <t xml:space="preserve">  </t>
  </si>
  <si>
    <t>High</t>
  </si>
  <si>
    <t>Low</t>
  </si>
  <si>
    <t>Mergent Bond</t>
  </si>
  <si>
    <t>Rating</t>
  </si>
  <si>
    <t>Debt Rate</t>
  </si>
  <si>
    <t>S &amp; P</t>
  </si>
  <si>
    <t>% LT Debt &amp; Pref Stock</t>
  </si>
  <si>
    <t>Baa1</t>
  </si>
  <si>
    <t>Baa2</t>
  </si>
  <si>
    <t>The capital structure of this industry is a representative or typical capital structure of the group, not that of the present owner.  The capital structure selected reflects the most likely arrangement of a prospective buyer.</t>
  </si>
  <si>
    <t>A1</t>
  </si>
  <si>
    <t>Ba1</t>
  </si>
  <si>
    <t>A3</t>
  </si>
  <si>
    <t>Baa3</t>
  </si>
  <si>
    <t>A-</t>
  </si>
  <si>
    <t>Book Value</t>
  </si>
  <si>
    <t>Shares Issued less Treasury</t>
  </si>
  <si>
    <t>2023 Tax Year</t>
  </si>
  <si>
    <t>DIRECT CAPITALIZATION RATE CONCLUSION</t>
  </si>
  <si>
    <t>YIELD CAPITALIZATION RATE CONCLUSION</t>
  </si>
  <si>
    <t>GCF After Tax</t>
  </si>
  <si>
    <t>Capitalization Rate</t>
  </si>
  <si>
    <t>Capitalization</t>
  </si>
  <si>
    <t>Marginal</t>
  </si>
  <si>
    <t>CAP RATE</t>
  </si>
  <si>
    <t>NOI After Tax  (NOPAT)</t>
  </si>
  <si>
    <t>WACC</t>
  </si>
  <si>
    <t>Notes:</t>
  </si>
  <si>
    <t>Shares Outstanding *</t>
  </si>
  <si>
    <t>Selected</t>
  </si>
  <si>
    <t>CAPITAL STRUCTURE</t>
  </si>
  <si>
    <t>Maintenance Capital Expenditures</t>
  </si>
  <si>
    <t>Estimate using Guideline Companies</t>
  </si>
  <si>
    <t>Inflation</t>
  </si>
  <si>
    <t>Rate %</t>
  </si>
  <si>
    <t>CPI</t>
  </si>
  <si>
    <t>PP&amp;E Gross</t>
  </si>
  <si>
    <t>PP&amp;E</t>
  </si>
  <si>
    <t>Previous Year</t>
  </si>
  <si>
    <t>Current Year</t>
  </si>
  <si>
    <t>Depreciation</t>
  </si>
  <si>
    <t>Expense</t>
  </si>
  <si>
    <t xml:space="preserve">Average Life of </t>
  </si>
  <si>
    <t>Assets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</si>
  <si>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</si>
  <si>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</si>
  <si>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</si>
  <si>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</si>
  <si>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</si>
  <si>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</si>
  <si>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</si>
  <si>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</si>
  <si>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</si>
  <si>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</si>
  <si>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F/G</t>
  </si>
  <si>
    <t>C*H</t>
  </si>
  <si>
    <t>1/(1=C)^H</t>
  </si>
  <si>
    <t>Replacement</t>
  </si>
  <si>
    <t xml:space="preserve">Cost </t>
  </si>
  <si>
    <t>RC as % of</t>
  </si>
  <si>
    <t>K/G</t>
  </si>
  <si>
    <t>L</t>
  </si>
  <si>
    <t>(D+E)/2</t>
  </si>
  <si>
    <t>(G*I) / (1-J)</t>
  </si>
  <si>
    <t>*</t>
  </si>
  <si>
    <t>Gross Cash Flow</t>
  </si>
  <si>
    <t>NOPAT</t>
  </si>
  <si>
    <t>VL Projected NOI</t>
  </si>
  <si>
    <t xml:space="preserve">Year End </t>
  </si>
  <si>
    <t>VL Historic</t>
  </si>
  <si>
    <t>VL Projected</t>
  </si>
  <si>
    <t>Current</t>
  </si>
  <si>
    <t>Yield</t>
  </si>
  <si>
    <t>SELECTED AVERAGE &gt;</t>
  </si>
  <si>
    <t>Source</t>
  </si>
  <si>
    <t>GDP</t>
  </si>
  <si>
    <t>Nominal</t>
  </si>
  <si>
    <t>Growth</t>
  </si>
  <si>
    <t>Book Ratio</t>
  </si>
  <si>
    <t>Numeric</t>
  </si>
  <si>
    <t>Caa3</t>
  </si>
  <si>
    <t>Caa2</t>
  </si>
  <si>
    <t>Caa1</t>
  </si>
  <si>
    <t>B3</t>
  </si>
  <si>
    <t>B2</t>
  </si>
  <si>
    <t>B1</t>
  </si>
  <si>
    <t>Ba3</t>
  </si>
  <si>
    <t>Ba2</t>
  </si>
  <si>
    <t>A2</t>
  </si>
  <si>
    <t>Aa3</t>
  </si>
  <si>
    <t>Aa2</t>
  </si>
  <si>
    <t>Aa1</t>
  </si>
  <si>
    <t>Bond Rating Scale</t>
  </si>
  <si>
    <t>Levered Beta</t>
  </si>
  <si>
    <t>https://www.philadelphiafed.org/research-and-data/real-time-center/livingston-survey</t>
  </si>
  <si>
    <t>https://www.philadelphiafed.org/surveys-and-data/real-time-data-research/survey-of-professional-forecasters</t>
  </si>
  <si>
    <t>Preferred Stock ***</t>
  </si>
  <si>
    <t>Long Term Debt **</t>
  </si>
  <si>
    <t xml:space="preserve">** Debt includes  LT Debt , Current portion of LT Debt, and Finance leases from 10K </t>
  </si>
  <si>
    <t>*** Market value of preferred stock assumed to equal book value</t>
  </si>
  <si>
    <t>* Outstanding stock shares are generally already net of Treasury stock shares</t>
  </si>
  <si>
    <t>MODEL</t>
  </si>
  <si>
    <t>EQUITY RATES for YIELD APPROACH</t>
  </si>
  <si>
    <t>CAPM - The CFO Survey</t>
  </si>
  <si>
    <t>CAPM - Fernandez, Banuls, &amp; Acin</t>
  </si>
  <si>
    <t>CAPM - Ex Post (BVR Historical, Arithmeic)</t>
  </si>
  <si>
    <t>CAPM - Ex Post (BVR Historical, Geometric)</t>
  </si>
  <si>
    <t>Empirical CAPM - The CFO Survey</t>
  </si>
  <si>
    <t>Empirical CAPM - Fernandez, Banuls, &amp; Acin</t>
  </si>
  <si>
    <t>Empirical CAPM - Ex Post (BVR Historical, Arithmeic)</t>
  </si>
  <si>
    <t>Empirical CAPM - Ex Post (BVR Historical, Geometric)</t>
  </si>
  <si>
    <t>Stock</t>
  </si>
  <si>
    <t>Dividends</t>
  </si>
  <si>
    <t>Per Share</t>
  </si>
  <si>
    <t>Dividend</t>
  </si>
  <si>
    <t>Historic</t>
  </si>
  <si>
    <t>Dividend Data</t>
  </si>
  <si>
    <t>Earnings</t>
  </si>
  <si>
    <t>Equity</t>
  </si>
  <si>
    <t>Equity Rate</t>
  </si>
  <si>
    <t>(F+G)</t>
  </si>
  <si>
    <t>(F+H)</t>
  </si>
  <si>
    <t>Dividend Yield</t>
  </si>
  <si>
    <t xml:space="preserve">Projected Short Term </t>
  </si>
  <si>
    <t>DGM - Earnings Growth Rate &gt;</t>
  </si>
  <si>
    <t>DGM - Dividend Growth Rate &gt;</t>
  </si>
  <si>
    <t>Stable</t>
  </si>
  <si>
    <t>Growth Rate</t>
  </si>
  <si>
    <t>Cost of</t>
  </si>
  <si>
    <t>g</t>
  </si>
  <si>
    <t>DY</t>
  </si>
  <si>
    <t>G1</t>
  </si>
  <si>
    <t>(G1 + g)/2</t>
  </si>
  <si>
    <t>KE = (DY X (1 + .5(G))) + .67 (G1) + .33(g)</t>
  </si>
  <si>
    <t>Kentucky</t>
  </si>
  <si>
    <t>Common Equity</t>
  </si>
  <si>
    <t xml:space="preserve">Obligations rated Ca are highly speculative and are likely in, or very near, default, with some prospect of recovery in principal and interest. </t>
  </si>
  <si>
    <t xml:space="preserve">Obligations rated C are the lowest-rated class of bonds and are typical­ly in default, with little prospect for recovery of principal and interest. </t>
  </si>
  <si>
    <t xml:space="preserve">Obligations rated Caa are judged to be of poor standing and are subject to very high credit risk . </t>
  </si>
  <si>
    <t>Obligations rated Aaa are judged to be of the highest quality, with minimal risk.</t>
  </si>
  <si>
    <t xml:space="preserve">Obligations rated A are considered upper-medium-grade and are sub­ject to low credit risk. </t>
  </si>
  <si>
    <t xml:space="preserve">Obligations rated B are considered speculative and are subject to high credit risk. </t>
  </si>
  <si>
    <t xml:space="preserve">Obligations rated Ba are judged to have speculative elements and are subject to substantial credit risk. </t>
  </si>
  <si>
    <t xml:space="preserve">Obligations rated Baa are subject to moderate credit risk. They are considered medium-grade and as such may possess speculative characteristics. </t>
  </si>
  <si>
    <t>D1 = Expected Dividends</t>
  </si>
  <si>
    <r>
      <t>K</t>
    </r>
    <r>
      <rPr>
        <b/>
        <sz val="10"/>
        <color theme="1"/>
        <rFont val="Microsoft GothicNeo"/>
        <family val="2"/>
        <charset val="129"/>
      </rPr>
      <t>E</t>
    </r>
    <r>
      <rPr>
        <b/>
        <sz val="16"/>
        <color theme="1"/>
        <rFont val="Microsoft GothicNeo"/>
        <family val="2"/>
        <charset val="129"/>
      </rPr>
      <t xml:space="preserve"> = (D</t>
    </r>
    <r>
      <rPr>
        <b/>
        <sz val="10"/>
        <color theme="1"/>
        <rFont val="Microsoft GothicNeo"/>
        <family val="2"/>
        <charset val="129"/>
      </rPr>
      <t>1</t>
    </r>
    <r>
      <rPr>
        <b/>
        <sz val="16"/>
        <color theme="1"/>
        <rFont val="Microsoft GothicNeo"/>
        <family val="2"/>
        <charset val="129"/>
      </rPr>
      <t xml:space="preserve"> / P</t>
    </r>
    <r>
      <rPr>
        <b/>
        <sz val="10"/>
        <color theme="1"/>
        <rFont val="Microsoft GothicNeo"/>
        <family val="2"/>
        <charset val="129"/>
      </rPr>
      <t>o</t>
    </r>
    <r>
      <rPr>
        <b/>
        <sz val="16"/>
        <color theme="1"/>
        <rFont val="Microsoft GothicNeo"/>
        <family val="2"/>
        <charset val="129"/>
      </rPr>
      <t>) + G</t>
    </r>
  </si>
  <si>
    <t>KE = Cost of Equity</t>
  </si>
  <si>
    <t>Po   = Current Price</t>
  </si>
  <si>
    <r>
      <t>Price (P</t>
    </r>
    <r>
      <rPr>
        <b/>
        <sz val="9"/>
        <color theme="1"/>
        <rFont val="Microsoft GothicNeo"/>
        <family val="2"/>
        <charset val="129"/>
      </rPr>
      <t>0</t>
    </r>
    <r>
      <rPr>
        <b/>
        <sz val="11"/>
        <color theme="1"/>
        <rFont val="Microsoft GothicNeo"/>
        <family val="2"/>
        <charset val="129"/>
      </rPr>
      <t>)</t>
    </r>
  </si>
  <si>
    <t xml:space="preserve">Dividend Growth Rate </t>
  </si>
  <si>
    <t xml:space="preserve">Earnings Per Share Growth Rate </t>
  </si>
  <si>
    <r>
      <t>Long Term Debt</t>
    </r>
    <r>
      <rPr>
        <b/>
        <sz val="10"/>
        <color theme="1"/>
        <rFont val="Microsoft GothicNeo"/>
        <family val="2"/>
        <charset val="129"/>
      </rPr>
      <t xml:space="preserve"> </t>
    </r>
  </si>
  <si>
    <t>CAPITAL ASSET PRICING MODEL (CAPM)</t>
  </si>
  <si>
    <t>Selected &gt;</t>
  </si>
  <si>
    <t>Inflation and Gross Domestic Product (GDP) Data</t>
  </si>
  <si>
    <t>SELECTED &gt;</t>
  </si>
  <si>
    <t>Equity Risk Premium (ERP)</t>
  </si>
  <si>
    <t>Indicated Equity Rate</t>
  </si>
  <si>
    <t>Industry Risk Premium</t>
  </si>
  <si>
    <t>Weighted Industry Risk Premium (75%)</t>
  </si>
  <si>
    <t>Weighted Equity Risk Premium (25%)</t>
  </si>
  <si>
    <t xml:space="preserve">The CFO Survey  (4) </t>
  </si>
  <si>
    <t>BVR - Historical, Arithmetic Mean  (6)</t>
  </si>
  <si>
    <t>BVR - Historical, Geometric Mean  (7)</t>
  </si>
  <si>
    <t>Empirical CAPM Models</t>
  </si>
  <si>
    <t>CAPM Models</t>
  </si>
  <si>
    <t>KE = Rf + (B  X  ERP X  75%) = (ERP  X  25%)</t>
  </si>
  <si>
    <t>KE = Rf + (B  X  ERP)</t>
  </si>
  <si>
    <t>Industry Beta (B)</t>
  </si>
  <si>
    <t>Value Line Earnings</t>
  </si>
  <si>
    <t>Value Line Dividends</t>
  </si>
  <si>
    <t>Yahoo Finance</t>
  </si>
  <si>
    <t>Return on</t>
  </si>
  <si>
    <t>Gross Revenue</t>
  </si>
  <si>
    <t>Multiplier</t>
  </si>
  <si>
    <r>
      <t xml:space="preserve">NOPAT CASH FLOW MULTIPLE &amp; EQUITY RATE </t>
    </r>
    <r>
      <rPr>
        <b/>
        <sz val="12"/>
        <color theme="1"/>
        <rFont val="Microsoft GothicNeo"/>
        <family val="2"/>
        <charset val="129"/>
      </rPr>
      <t>(1 Yr Projected VL)</t>
    </r>
  </si>
  <si>
    <t>Two-Stage DGM Rate &gt;</t>
  </si>
  <si>
    <t>DGM - Single Stage - Earnings Growth</t>
  </si>
  <si>
    <t>DGM - Single Stage - Dividend Growth</t>
  </si>
  <si>
    <t>DGM - Two Stage - Dividend Growth</t>
  </si>
  <si>
    <r>
      <t xml:space="preserve">NOPAT CASH FLOW MULTIPLE &amp; EQUITY RATE </t>
    </r>
    <r>
      <rPr>
        <b/>
        <sz val="12"/>
        <color theme="1"/>
        <rFont val="Microsoft GothicNeo"/>
        <family val="2"/>
        <charset val="129"/>
      </rPr>
      <t>(LT 25-27 Yr Projected VL)</t>
    </r>
  </si>
  <si>
    <t>VL LT Projected NOI</t>
  </si>
  <si>
    <t>Indicated Rate of Debt &gt;</t>
  </si>
  <si>
    <t>Year End</t>
  </si>
  <si>
    <t>&amp; Finance Leases</t>
  </si>
  <si>
    <t>10K Income Statement</t>
  </si>
  <si>
    <t>10K Balance Sheet</t>
  </si>
  <si>
    <t>Indicated Rate of Equity Selected &gt;</t>
  </si>
  <si>
    <t>SHORT-TERM GROWTH RATES (5 years)</t>
  </si>
  <si>
    <t>GROWTH &amp; INFLATION RATES</t>
  </si>
  <si>
    <t>Real LT Growth</t>
  </si>
  <si>
    <t>Federal Reserve Statistical Release  10 Yr Inflation protected Treasury securities (1)</t>
  </si>
  <si>
    <t xml:space="preserve">Federal Reserve Statistical Release  20 Yr Inflation protected Treasury securities (1) </t>
  </si>
  <si>
    <t xml:space="preserve">Federal Reserve Statistical Release  30 Yr Inflation protected Treasury securities (1) </t>
  </si>
  <si>
    <t>Federal Reserve Bank of Philadelphia / Livingston Survey Mean  (2)</t>
  </si>
  <si>
    <t>“Since no firm can grow forever at a rate higher than the growth rate of the economy in which it operates, the constant growth rate cannot be greater</t>
  </si>
  <si>
    <t>http://pages.stern.nyu.edu/~adamodar/New_Home_Page/valquestions/stablegrowthrate.htm</t>
  </si>
  <si>
    <t>*Cornell, B. &amp; Gerger, R. (2017) Estimating Terminal Values with Inflation : The Inputs Matter - It is Not a Formulaic Exercise.  Business Valuation Review, Vol.36, Number 4, 117-123.</t>
  </si>
  <si>
    <t>C1  C2  C3</t>
  </si>
  <si>
    <t>1 Yr Projected</t>
  </si>
  <si>
    <t>3-5 Yr Projected</t>
  </si>
  <si>
    <t>Short Term</t>
  </si>
  <si>
    <t>(1)</t>
  </si>
  <si>
    <t>(1)    4 Year compound annual growth rate (CAGR)  - 3 periods</t>
  </si>
  <si>
    <t>Earnings Data</t>
  </si>
  <si>
    <r>
      <t xml:space="preserve">KY DOR                    Earnings Growth Rate                 </t>
    </r>
    <r>
      <rPr>
        <b/>
        <sz val="9"/>
        <color theme="1"/>
        <rFont val="Microsoft GothicNeo"/>
        <family val="2"/>
        <charset val="129"/>
      </rPr>
      <t xml:space="preserve"> (Median / Average)</t>
    </r>
  </si>
  <si>
    <r>
      <t xml:space="preserve">KY DOR                Dividends Growth Rate </t>
    </r>
    <r>
      <rPr>
        <b/>
        <sz val="9"/>
        <color theme="1"/>
        <rFont val="Microsoft GothicNeo"/>
        <family val="2"/>
        <charset val="129"/>
      </rPr>
      <t xml:space="preserve"> (Median / Average)</t>
    </r>
  </si>
  <si>
    <t>YIELD EQUITY RATE</t>
  </si>
  <si>
    <t>g = b X ROE</t>
  </si>
  <si>
    <t>g = LT growth rate</t>
  </si>
  <si>
    <t>b = reinvestment rate</t>
  </si>
  <si>
    <t>ROE = Return on equity (or return on investment)</t>
  </si>
  <si>
    <t>b = g  / ROE</t>
  </si>
  <si>
    <t>The plowback ratio is multiplied by Net Cash Flow to estimate the amount of additional capital expenditures needed to achieve projected results.</t>
  </si>
  <si>
    <t>Reinvestment Rate =</t>
  </si>
  <si>
    <t>EBIT (1-Tax Rate)</t>
  </si>
  <si>
    <t>Capital Expenditures - Depreciation + Change in Working Capital</t>
  </si>
  <si>
    <t>Aswath Damodaran's model to determine the Reinvesment Rate &gt;</t>
  </si>
  <si>
    <t>It is assumed that the ROE is a fixed (unchanging) rate.</t>
  </si>
  <si>
    <t>Maintenance Capital Expenditures and Change in Working Capital</t>
  </si>
  <si>
    <t>Operating Leases ****</t>
  </si>
  <si>
    <t>Market Value</t>
  </si>
  <si>
    <t>10K</t>
  </si>
  <si>
    <t>Market to</t>
  </si>
  <si>
    <t>Long Term Debt</t>
  </si>
  <si>
    <t xml:space="preserve">Capital </t>
  </si>
  <si>
    <t>Market</t>
  </si>
  <si>
    <t>to Book</t>
  </si>
  <si>
    <t>Composite</t>
  </si>
  <si>
    <t>Total</t>
  </si>
  <si>
    <t>AVERAGE</t>
  </si>
  <si>
    <t>Common Total Equity</t>
  </si>
  <si>
    <t>FMV / PV</t>
  </si>
  <si>
    <t>GCF CASH FLOW MULTIPLE &amp; EQUITY RATE</t>
  </si>
  <si>
    <r>
      <t xml:space="preserve">GCF CASH FLOW MULTIPLE &amp; EQUITY RATE </t>
    </r>
    <r>
      <rPr>
        <b/>
        <sz val="12"/>
        <color theme="1"/>
        <rFont val="Microsoft GothicNeo"/>
        <family val="2"/>
        <charset val="129"/>
      </rPr>
      <t>(1 Yr Projected VL)</t>
    </r>
  </si>
  <si>
    <t>CFRA                                    S&amp;P Net Advantage</t>
  </si>
  <si>
    <t>Zacks Investment Research</t>
  </si>
  <si>
    <t>Companies excluded from the study &gt;</t>
  </si>
  <si>
    <r>
      <t>K</t>
    </r>
    <r>
      <rPr>
        <b/>
        <sz val="10"/>
        <color theme="1"/>
        <rFont val="Microsoft GothicNeo"/>
        <family val="2"/>
        <charset val="129"/>
      </rPr>
      <t>E</t>
    </r>
    <r>
      <rPr>
        <b/>
        <sz val="16"/>
        <color theme="1"/>
        <rFont val="Microsoft GothicNeo"/>
        <family val="2"/>
        <charset val="129"/>
      </rPr>
      <t xml:space="preserve"> = (DY  X  (1+ .5(G)))  + .67(G1)  +  .33(g)</t>
    </r>
  </si>
  <si>
    <t>G   = Average growth rate</t>
  </si>
  <si>
    <t>G1 = Short term growth estimate</t>
  </si>
  <si>
    <t>DY = Dividend Yield     See ValueLine</t>
  </si>
  <si>
    <t>g   = Stable Growth - Nominal growth rate</t>
  </si>
  <si>
    <t>AA+</t>
  </si>
  <si>
    <t>AAA</t>
  </si>
  <si>
    <t>AA</t>
  </si>
  <si>
    <t>Obligations rated Aa are judged to be of high quality, with minimal risk.</t>
  </si>
  <si>
    <t>AA-</t>
  </si>
  <si>
    <t>BBB+</t>
  </si>
  <si>
    <t>BBB</t>
  </si>
  <si>
    <t>BBB-</t>
  </si>
  <si>
    <t>BB+</t>
  </si>
  <si>
    <t>BB</t>
  </si>
  <si>
    <t>BB-</t>
  </si>
  <si>
    <t>B-</t>
  </si>
  <si>
    <t>CCC+</t>
  </si>
  <si>
    <t>CCC</t>
  </si>
  <si>
    <t>CCC-</t>
  </si>
  <si>
    <t>CC</t>
  </si>
  <si>
    <t>Scale</t>
  </si>
  <si>
    <t>Retained to</t>
  </si>
  <si>
    <t>Shareholders Equity</t>
  </si>
  <si>
    <t>Retained to Common Equity -- Net profit less all common and preferred dividends divided by common equity including intangible assets, expressed as a percentage.  Also known as the plowback ratio.</t>
  </si>
  <si>
    <t>Return on Shareholders Equity -- Annual net profit divided by year-end shareholders equity, expressed as a percentage.</t>
  </si>
  <si>
    <t>Ca1</t>
  </si>
  <si>
    <t>Ca2</t>
  </si>
  <si>
    <t>Ca3</t>
  </si>
  <si>
    <t>CC+</t>
  </si>
  <si>
    <t>CC-</t>
  </si>
  <si>
    <t>AAA-</t>
  </si>
  <si>
    <t>AAA+</t>
  </si>
  <si>
    <t>Aaa1</t>
  </si>
  <si>
    <t>Aaa2</t>
  </si>
  <si>
    <t>Aaa3</t>
  </si>
  <si>
    <t>Share</t>
  </si>
  <si>
    <t>Gross Revenues</t>
  </si>
  <si>
    <t>NOPAT Earnings</t>
  </si>
  <si>
    <t>The purpose of this ratio is to test whether the market price is worth more (or less) than the cost of the assets.</t>
  </si>
  <si>
    <t>If the result is greater than one(1), it indicates the market value exceeds book value and can often be used as a sign of competent management.</t>
  </si>
  <si>
    <t>The higher the return on revenue the higher the price to revenue will be.</t>
  </si>
  <si>
    <t>Cash flow is typically defined to be net income plus depreciation and amortization.</t>
  </si>
  <si>
    <t xml:space="preserve">This measure is considered relevant for companies with high non-cash charges reflected in the income statement.  Non-cash charges include depreciation &amp; amortization, goodwill impairments, asset write downs, </t>
  </si>
  <si>
    <t>stock based compensation, and deferred income taxes and investment tax credits.</t>
  </si>
  <si>
    <t>P/E Ratio - Long Term Projection NOPAT</t>
  </si>
  <si>
    <t>CS+LTD +PS + OL</t>
  </si>
  <si>
    <t>&amp; Op Leases</t>
  </si>
  <si>
    <t>Earnings Growth = DY + EG</t>
  </si>
  <si>
    <t>Dividend Growth = DY + DG</t>
  </si>
  <si>
    <t>EG = Earnings Growth</t>
  </si>
  <si>
    <t>DG = Dividend Growth</t>
  </si>
  <si>
    <t>DY = Dividend Yield</t>
  </si>
  <si>
    <t>G = Projected Growth (Earnings Per Share 5 Yr Growth Rate)</t>
  </si>
  <si>
    <t>G = Projected Growth (Div. 5 Yr Growth Rate)</t>
  </si>
  <si>
    <t>Liquid Transportation Pipeline Carriers</t>
  </si>
  <si>
    <t>Pipeline MLPs</t>
  </si>
  <si>
    <t>Energy Transfer LP</t>
  </si>
  <si>
    <t>ET</t>
  </si>
  <si>
    <t>Enterprise Products Partnership LP</t>
  </si>
  <si>
    <t>EPD</t>
  </si>
  <si>
    <t>Hess Midstream LP</t>
  </si>
  <si>
    <t>HESM</t>
  </si>
  <si>
    <t>MPLX, LP</t>
  </si>
  <si>
    <t>MPLX</t>
  </si>
  <si>
    <t>Plains All American Pipeline LP</t>
  </si>
  <si>
    <t>PAA</t>
  </si>
  <si>
    <t>Western Midstream Partners LP</t>
  </si>
  <si>
    <t>WES</t>
  </si>
  <si>
    <t xml:space="preserve">AmeriGas Partners (APU) - Primarily engaged in the marketing and distribution of propane.  Not applicable to fluid transportation pipeline services.  </t>
  </si>
  <si>
    <t>Andeavor Logistics LP - Removed, Was acquired by MPLX LP on July 30th, 2019. No longer listed on stock indexes.</t>
  </si>
  <si>
    <t xml:space="preserve">Antero Midstream Parters (AM) - Primarily gathers and processes natural gas (some oil).  Also engaged mid stream activities and hydro facturing &amp; processing.  Not applicable to fluid transportation pipeline services.  </t>
  </si>
  <si>
    <t>Boardwalk Pipeline  - Not Used.  No longer publicly traded.</t>
  </si>
  <si>
    <t>Buckeye Partners LP - Removed Acquired/merged by IFM investors. No longer publicly traded.</t>
  </si>
  <si>
    <t>EQM Midstream Partners (EQM) - EQM merged with Equitrans Midstream Corp 06/2020</t>
  </si>
  <si>
    <t>Enable Midstream acquired by Energy Transfer 2021</t>
  </si>
  <si>
    <t>Plains GP Holdings LP  (PAGP) - Not used.  See Plains All American</t>
  </si>
  <si>
    <t>Rattler Midstream -  No ValueLine sheet.</t>
  </si>
  <si>
    <t>Shell Midstream Partners LP (SHLX) - Owns transmission pipelines.  They own 2.6% of the explorer pipeline that is engaged in the transportation of oil products.  Colorado and Utah included this company.  No Valueline sheet.  Merged with Shell USA</t>
  </si>
  <si>
    <t xml:space="preserve">Suburban Propane (SPH) - Primarily engaged in the marketing and distribution of propane and fuel oil to retail customers.  Not applicable to fluid transportation pipeline services.  </t>
  </si>
  <si>
    <t xml:space="preserve">Spectra Energy Partners LP (SEP) and Spectra Energy Corp - Not used.  No longer publicly traded.    </t>
  </si>
  <si>
    <t xml:space="preserve">Summit Midstream Partners LP (SMLP)  - Main business is gathering and treating oil &amp; gas.  Montana included this company.  </t>
  </si>
  <si>
    <t xml:space="preserve">Tallgrass Energy Partners (TEP) and Tallgrass Energy GP, LP (TEGP) - Not used.  No longer publicly traded.    </t>
  </si>
  <si>
    <t>Valero Energy Partners (VLP) - Not Used.  No longer publicly traded. Acquired by Valero Energy Corp.</t>
  </si>
  <si>
    <t xml:space="preserve">Valero Energy Corp (VEC) - Acquired Valero Energy Part (VLP).  Not used.  Large refiner.  Does have some pipelines.  </t>
  </si>
  <si>
    <t>Companies to add to the study &gt;</t>
  </si>
  <si>
    <t xml:space="preserve">Hess Midstream LP (HESM) - Engaged in liquid transportation </t>
  </si>
  <si>
    <t xml:space="preserve">Western Midstream Partners LP (WES) - Owns and operates midstream pipelines in Rocky mountains, Texas, and North-Central PA.  Main business is gathering and treating oil &amp; gas.  Montana and Oregon included this company.  </t>
  </si>
  <si>
    <t>Companies to consider in the study &gt;</t>
  </si>
  <si>
    <t>Cheniere Energy Partners (CQP) - Engages in LNG business and related natural gas pipelines.   MLP</t>
  </si>
  <si>
    <t>Phillips 66 Partners LP (PSXP) - No longer publicly traded.  Removed from study.</t>
  </si>
  <si>
    <t>General Partner Units</t>
  </si>
  <si>
    <t>Gross Book Value Equity</t>
  </si>
  <si>
    <t>Per Unit **</t>
  </si>
  <si>
    <t>Multiple *</t>
  </si>
  <si>
    <t>* This multiple is applicable to service type companies, or those with few assets.  These companies sell at prices related to their revenues.</t>
  </si>
  <si>
    <t>** The book value, or common equity, per share is total owners' equity minus preferred stock divided by the number of common shares outstanding.</t>
  </si>
  <si>
    <t xml:space="preserve">Property, Plant &amp; Equipment includes CWIP, but should exclude intangibles and the associated amortization.  </t>
  </si>
  <si>
    <t>Common Total Equity excludes 'noncontrolling interests' equity value.</t>
  </si>
  <si>
    <t xml:space="preserve">http://www.federalreserve.gov/Releases/H15/Current/ </t>
  </si>
  <si>
    <t>Projected 1 Yr</t>
  </si>
  <si>
    <t>Earnings Per Share Growth Rate</t>
  </si>
  <si>
    <t>Estimated 20-22 to 26-28</t>
  </si>
  <si>
    <t xml:space="preserve">Risk Free Rate (Rf) </t>
  </si>
  <si>
    <t>Yield Equity Rate - DGM (Dividend Growth) &amp; DGM (Earnings Growth)  -- Gordon Growth</t>
  </si>
  <si>
    <t>Empirical CAPM - Ex Ante, Three Stage - V1</t>
  </si>
  <si>
    <t>Empirical CAPM - Ex Ante, Three Stage - V2</t>
  </si>
  <si>
    <t>CAPM - Ex Ante, Three Stage - V1</t>
  </si>
  <si>
    <t>CAPM - Ex Ante, Three Stage - V2</t>
  </si>
  <si>
    <t>Mean</t>
  </si>
  <si>
    <t xml:space="preserve">S&amp;P Rating </t>
  </si>
  <si>
    <t>A market to book ratio over one would be an indication of no obsolescence.</t>
  </si>
  <si>
    <t>http://pages.stern.nyu.edu/~adamodar/New_Home_Page/datacurrent.html</t>
  </si>
  <si>
    <t>https://www.richmondfed.org/research/national_economy/cfo_survey</t>
  </si>
  <si>
    <t>https://www.bvresources.com/products/faqs/cost-of-capital-professional</t>
  </si>
  <si>
    <t>Damodaran Implied ERP Ex Ante   Trailing 12 mo Cash Yield (3)</t>
  </si>
  <si>
    <t>Damodaran Implied ERP Ex Ante   Net Cash Yield (3)</t>
  </si>
  <si>
    <t>Damodaran Implied ERP Ex Ante   Norm. Earnings &amp; Payout (3)</t>
  </si>
  <si>
    <t>KROLL Ex Post  - ERP Historical (8)</t>
  </si>
  <si>
    <t>KROLL Ex Post - ERP Supply Side (8)</t>
  </si>
  <si>
    <t>KROLL Ex Ante - ERP Conditional (8)</t>
  </si>
  <si>
    <t>CAPM - Ex Ante  Damodaran 12 Mo Cash Yield</t>
  </si>
  <si>
    <t>CAPM - Ex Ante  Damodaran Net Cash Yield</t>
  </si>
  <si>
    <t>CAPM - Ex Ante  Damodaran NEP</t>
  </si>
  <si>
    <t>CAPM - Ex Post KROLL ERP Historical</t>
  </si>
  <si>
    <t>CAPM - Ex Post  KROLL ERP Supply Side</t>
  </si>
  <si>
    <t>CAPM - Ex Ante  KROLL ERP Conditional</t>
  </si>
  <si>
    <t>Empirical CAPM - Ex Ante  Damodaran 12 Mo Cash Yield</t>
  </si>
  <si>
    <t>Empirical CAPM - Ex Ante  Damodaran Net Cash Yield</t>
  </si>
  <si>
    <t>Empirical CAPM - Ex Ante  Damodaran NEP</t>
  </si>
  <si>
    <t>Empirical CAPM - Ex Post KROLL ERP Historical</t>
  </si>
  <si>
    <t>Empirical CAPM - Ex Post  KROLL ERP Supply Side</t>
  </si>
  <si>
    <t>Empirical CAPM - Ex Ante  KROLL ERP Conditional</t>
  </si>
  <si>
    <t>Damodaran Implied ERP Ex Ante   Avg CF Yield Last 10 Yrs (3)</t>
  </si>
  <si>
    <t>P. Fernandez, T. Garcia de Santos &amp; J.F.Acin  (5)</t>
  </si>
  <si>
    <t>CAPM - Ex Ante  Damodaran Avg CF Yield Last 10 Yrs</t>
  </si>
  <si>
    <t>Empirical CAPM - Ex Ante  Damodaran Avg CF Yield Last 10 Yrs</t>
  </si>
  <si>
    <t>na</t>
  </si>
  <si>
    <t>DCP Midstram - Company was sold to Philips 66 removed from study</t>
  </si>
  <si>
    <t>Holly Energy Partners LP - acquired by HF Sinclair Corporation</t>
  </si>
  <si>
    <t xml:space="preserve">Magellan Midstream Partners LP - acuqired by ONEOK </t>
  </si>
  <si>
    <t>Estimated 21-23 to 27-29</t>
  </si>
  <si>
    <t>Corporate                          December Avg</t>
  </si>
  <si>
    <t>Utility                                                December Avg</t>
  </si>
  <si>
    <t>**** Market value of operating leases for all companies including the airlines and railroads</t>
  </si>
  <si>
    <t>Market to Book Ratios - Obsolescence Measurement</t>
  </si>
  <si>
    <t>BETA SELECTION for CAPM</t>
  </si>
  <si>
    <t>NOPAT CASH FLOW MULTIPLE &amp; EQUITY RATE</t>
  </si>
  <si>
    <t>Yield Equity Rate - DGM (Two-Stage)</t>
  </si>
  <si>
    <t>GROSS REVENUE &amp; GROSS BOOK (EQUITY) MULTIPLES</t>
  </si>
  <si>
    <t>NuStar Energy LP -Aquired by Sunoco LP and no longer publically traded.</t>
  </si>
  <si>
    <t>INFLATION (CPI) &amp; GROSS DOMESTIC PRODUCT (GDP)</t>
  </si>
  <si>
    <t>Federal Reserve Bank of Philadelphia / Livingston Survey  Median (2a)</t>
  </si>
  <si>
    <t>Federal Reserve Bank of Philadelphia  /Survey of Professional Forecasters  Mean (2b)</t>
  </si>
  <si>
    <t xml:space="preserve">Congressional Budget Office Real Economic Projections (3)  </t>
  </si>
  <si>
    <t xml:space="preserve">Congressional Budget Office Real Economic Projections (3a)  </t>
  </si>
  <si>
    <t xml:space="preserve">Congressional Budget Office Real Economic Projections (3b)  </t>
  </si>
  <si>
    <t>The Trading Economics (4)</t>
  </si>
  <si>
    <t>The World Bank (5)</t>
  </si>
  <si>
    <t xml:space="preserve">Federal Reserve Bank "Long Term" Projection - Members &amp; Presidents opinion (6) </t>
  </si>
  <si>
    <t>The Federal Reserve Bank projects their "long-term" estimate of Change in US real GDP at 1.8%</t>
  </si>
  <si>
    <t xml:space="preserve">than the overall growth rate of the economy.”  Dr. Aswath Damodaran (n.d.) The Stable Growth Rate </t>
  </si>
  <si>
    <t>SOURCES:</t>
  </si>
  <si>
    <t>(1)  Federal Reserve Statistical Release</t>
  </si>
  <si>
    <t>(2) (2a)  Federal Reserve Bank of Philadelphia - The Livingston Survey</t>
  </si>
  <si>
    <t>(2b)  Federal Reserve Bank of Philadelphia - Survey of Professional Forecasters</t>
  </si>
  <si>
    <t>(3) (3a) (3b)  The Congressional Budget Office</t>
  </si>
  <si>
    <t>Budget and Economic Data | Congressional Budget Office</t>
  </si>
  <si>
    <t>https://www.cbo.gov/publication/60870</t>
  </si>
  <si>
    <t>(4) The Trading Economics</t>
  </si>
  <si>
    <t>https://tradingeconomics.com/united-states/full-year-gdp-growth</t>
  </si>
  <si>
    <t xml:space="preserve">(5) The World Bank </t>
  </si>
  <si>
    <t>World Bank Group Flagship Report, GlobalEconomic Prospects,  Page 4  Table 1.1 Real GDP</t>
  </si>
  <si>
    <t>http://www.worldbank.org/en/publication/global-economic-prospects</t>
  </si>
  <si>
    <t>(6) Board of Governors of the Federal Reserve System - Federal Reserve Bank Members &amp; Presidents Opinion</t>
  </si>
  <si>
    <t>RISK FREE RATE (Rf)</t>
  </si>
  <si>
    <t xml:space="preserve">10-year U.S. Treasury coupon bonds </t>
  </si>
  <si>
    <r>
      <rPr>
        <b/>
        <sz val="7"/>
        <color theme="1"/>
        <rFont val="Microsoft GothicNeo Light"/>
        <family val="2"/>
        <charset val="129"/>
      </rPr>
      <t xml:space="preserve"> </t>
    </r>
    <r>
      <rPr>
        <b/>
        <sz val="10"/>
        <color theme="1"/>
        <rFont val="Microsoft GothicNeo Light"/>
        <family val="2"/>
        <charset val="129"/>
      </rPr>
      <t>20-year U.S. Treasury coupon bonds</t>
    </r>
  </si>
  <si>
    <t>30-year U.S. Treasury coupon bonds</t>
  </si>
  <si>
    <t>KDOR Selected Risk Free Rate (Rf) &gt;</t>
  </si>
  <si>
    <t>20-year U.S. Treasury coupon bonds</t>
  </si>
  <si>
    <r>
      <rPr>
        <b/>
        <sz val="7"/>
        <color theme="1"/>
        <rFont val="Microsoft GothicNeo Light"/>
        <family val="2"/>
        <charset val="129"/>
      </rPr>
      <t xml:space="preserve"> </t>
    </r>
    <r>
      <rPr>
        <b/>
        <sz val="10"/>
        <color theme="1"/>
        <rFont val="Microsoft GothicNeo Light"/>
        <family val="2"/>
        <charset val="129"/>
      </rPr>
      <t>30-year U.S. Treasury coupon bonds</t>
    </r>
  </si>
  <si>
    <t>http://pages.stern.nyu.edu/~adamodar/</t>
  </si>
  <si>
    <t xml:space="preserve">(1) Three Stage Dividend Growth Model, S&amp;P 500.  The Three Stage Ex Ante calculations were performed by Montana.  The Equity risk premiums are shown above.  </t>
  </si>
  <si>
    <t xml:space="preserve">(2) Three Stage Dividend Growth Model, S&amp;P 500.  The Three Stage Ex Ante calculations were performed by Minnesota.  The Equity risk premiums are shown above.  </t>
  </si>
  <si>
    <t>Three Stage Ex Ante  Version 1  (1)</t>
  </si>
  <si>
    <t>Three Stage Ex Ante  Version 2   (2)</t>
  </si>
  <si>
    <t>Vl Projected 2026</t>
  </si>
  <si>
    <t>Moody's Bond</t>
  </si>
  <si>
    <t>Moody's Rating</t>
  </si>
  <si>
    <t>DEBT RATE for Direct and Yield Approach</t>
  </si>
  <si>
    <t>2026 CAPITALIZATION RATE STUDY</t>
  </si>
  <si>
    <t>2026 Tax Year</t>
  </si>
  <si>
    <t xml:space="preserve">(6) &amp; (7) Business Valuation Resources, Cost of Capital Professional. (2026). Historical ERP 1928 to present, using arithmetic mean, geometric mean, and 20-Year Treasury Securities. </t>
  </si>
  <si>
    <t>(8) KROLL, Cost of Capital Navigator. (2026).  See Montana Cap Rate Study.</t>
  </si>
  <si>
    <t>Federal Reserve Statistical Release (January 2, 2026)  Treasury Constant Maturities, Nominal (1) :</t>
  </si>
  <si>
    <t>Value Line Investment Survey (January 10, 2026)  Selected Yields on Taxable U.S. Treasury Securities :</t>
  </si>
  <si>
    <t>Damodaran selected Risk-Free rate (January 1, 2026) (7) :</t>
  </si>
  <si>
    <t>KROLL Cost of Capital Navigator Risk-Free rate Ex Post  (January 1, 2026) :</t>
  </si>
  <si>
    <t>First Qtr. 2026,  Feb. 14, 2026, Table 8 &amp; Table 9, Average (Mean) over next 10 yrs</t>
  </si>
  <si>
    <t>Real Economic Projections, Table C-1 Table C-2 pages 27 &amp; 28 Annual Avg. Economic Projections for Calendar years 2026to 2035</t>
  </si>
  <si>
    <t>The Budget and Economic Outlook: 2026 to 2035</t>
  </si>
  <si>
    <t xml:space="preserve">https://www.cbo.gov/system/files/2026-01/60870-Outlook-2026.pdf </t>
  </si>
  <si>
    <t>Trading Economics, United States,  Full Year GDP Growth Rate Forecast for 2026</t>
  </si>
  <si>
    <t>YEAR END 12/31/2025</t>
  </si>
  <si>
    <t>Dec. 31, 2025</t>
  </si>
  <si>
    <t xml:space="preserve">Dec. 20, 2025, Table 3, pg. 8 Mean Inflation Rate &amp; Real GDP for next 10 yrs. </t>
  </si>
  <si>
    <t>Dec. 20, 2025, Table 3, pg. 8 Median Annual CPI Rate &amp; Real GDP Growth Rate over next 10 yrs.</t>
  </si>
  <si>
    <t>January 2025-2026</t>
  </si>
  <si>
    <t>https://www.federalreserve.gov/monetarypolicy/files/fomcprojtabl20251218.pd</t>
  </si>
  <si>
    <t>NMF</t>
  </si>
  <si>
    <t>(3) Implied Equity Risk Premium on January 2, 2026 as determined by Dr. Aswath Damodaran</t>
  </si>
  <si>
    <t xml:space="preserve">(4) The CFO Survey (2025). Data &amp; Results December 17, 2025. Mean average annual S&amp;P return over next ten years (9.9%) less annual yield on 10-year Treasury Bonds (4.29%). </t>
  </si>
  <si>
    <t>(5) Fernandez, P., Garcia D., &amp; Acin, J. F. (2025). Survey: Market Risk Premium and Risk-Free Rate used for 54 countries in 2025. SSRN Electronic Journal.</t>
  </si>
  <si>
    <t>The Congressional Budget Office projects the U.S. Real GDP annual growth rate of 2.2% in 2026 and 1.8% in 2027       Core CPI = 2.30%</t>
  </si>
  <si>
    <t>The Congressional Budget Office projects the U.S. Inflation CPI 4th Qtr. To 4th Qtr. 2.7% in 2026  2.3% in 2027, 2.0% in 2028 and 2029 to 2030.  2.0% 2031 to 2036</t>
  </si>
  <si>
    <t>The Congressional Budget Office projects the U.S. Real GDP annual growth rates of 1.8% from 2029 to 2030 and 1.8% from 2031 to 2036</t>
  </si>
  <si>
    <t>The Congressional Budget Office projects the U.S. Real GDP average annual (Yr to Yr) growth rates of 2.21% from 2026 to 2030 and 1.80% from 2030 to 2035 and 1.90 GDP overall from 2026 to 2036</t>
  </si>
  <si>
    <t>January 2, 2026  Compare inflation indexed securities to non-inflation indexed securities.  The difference is the inflation rate.  See Minnesota study page 36pdf or Washington study page 6.</t>
  </si>
  <si>
    <t>Medium projection value from Dec. 10, 2025 report Table 1</t>
  </si>
  <si>
    <t>B++</t>
  </si>
  <si>
    <t>Fernandez, P., Garcia D., &amp; Acin, J. F. (2025). Survey: Market Risk Pre</t>
  </si>
  <si>
    <t>(7) Aswath Damodaran</t>
  </si>
  <si>
    <t>Aswath Damodaran</t>
  </si>
  <si>
    <t>Federal Reserve Statistical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</si>
</sst>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_(* #,##0.0000_);_(* \(#,##0.0000\);_(* &quot;-&quot;??_);_(@_)"/>
    <numFmt numFmtId="167" formatCode="0.000"/>
    <numFmt numFmtId="168" formatCode="_(* #,##0.000_);_(* \(#,##0.000\);_(* &quot;-&quot;??_);_(@_)"/>
  </numFmts>
  <fonts count="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Helvetica Narrow Bold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Georgia"/>
      <family val="1"/>
    </font>
    <font>
      <sz val="11"/>
      <color theme="1"/>
      <name val="Georgia"/>
      <family val="1"/>
    </font>
    <font>
      <b/>
      <i/>
      <sz val="22"/>
      <color theme="1"/>
      <name val="Georgia"/>
      <family val="1"/>
    </font>
    <font>
      <i/>
      <sz val="11"/>
      <color theme="1"/>
      <name val="Georgia"/>
      <family val="1"/>
    </font>
    <font>
      <b/>
      <sz val="11"/>
      <color theme="1"/>
      <name val="Palatino Roman"/>
      <family val="1"/>
    </font>
    <font>
      <sz val="11"/>
      <color theme="1"/>
      <name val="Palatino Roman"/>
      <family val="1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sz val="12"/>
      <name val="TIMES"/>
    </font>
    <font>
      <u/>
      <sz val="11"/>
      <color theme="10"/>
      <name val="Calibri"/>
      <family val="2"/>
      <scheme val="minor"/>
    </font>
    <font>
      <sz val="11"/>
      <color theme="1"/>
      <name val="Microsoft GothicNeo"/>
      <family val="2"/>
      <charset val="129"/>
    </font>
    <font>
      <sz val="11"/>
      <name val="Microsoft GothicNeo"/>
      <family val="2"/>
      <charset val="129"/>
    </font>
    <font>
      <b/>
      <sz val="11"/>
      <color theme="1"/>
      <name val="Microsoft GothicNeo"/>
      <family val="2"/>
      <charset val="129"/>
    </font>
    <font>
      <b/>
      <sz val="11"/>
      <name val="Microsoft GothicNeo"/>
      <family val="2"/>
      <charset val="129"/>
    </font>
    <font>
      <b/>
      <sz val="18"/>
      <color theme="1"/>
      <name val="Microsoft GothicNeo"/>
      <family val="2"/>
      <charset val="129"/>
    </font>
    <font>
      <b/>
      <sz val="16"/>
      <color theme="1"/>
      <name val="Microsoft GothicNeo"/>
      <family val="2"/>
      <charset val="129"/>
    </font>
    <font>
      <b/>
      <sz val="12"/>
      <color indexed="8"/>
      <name val="Microsoft GothicNeo"/>
      <family val="2"/>
      <charset val="129"/>
    </font>
    <font>
      <b/>
      <sz val="11"/>
      <color indexed="8"/>
      <name val="Microsoft GothicNeo"/>
      <family val="2"/>
      <charset val="129"/>
    </font>
    <font>
      <b/>
      <sz val="11"/>
      <color rgb="FFFF0000"/>
      <name val="Microsoft GothicNeo"/>
      <family val="2"/>
      <charset val="129"/>
    </font>
    <font>
      <b/>
      <sz val="14"/>
      <color theme="1"/>
      <name val="Microsoft GothicNeo"/>
      <family val="2"/>
      <charset val="129"/>
    </font>
    <font>
      <b/>
      <sz val="10"/>
      <color theme="1"/>
      <name val="Microsoft GothicNeo"/>
      <family val="2"/>
      <charset val="129"/>
    </font>
    <font>
      <sz val="9"/>
      <color theme="1"/>
      <name val="Microsoft GothicNeo"/>
      <family val="2"/>
      <charset val="129"/>
    </font>
    <font>
      <sz val="10"/>
      <color theme="1"/>
      <name val="Microsoft GothicNeo"/>
      <family val="2"/>
      <charset val="129"/>
    </font>
    <font>
      <i/>
      <sz val="9"/>
      <color theme="1"/>
      <name val="Microsoft GothicNeo"/>
      <family val="2"/>
      <charset val="129"/>
    </font>
    <font>
      <b/>
      <sz val="9"/>
      <color theme="1"/>
      <name val="Microsoft GothicNeo"/>
      <family val="2"/>
      <charset val="129"/>
    </font>
    <font>
      <b/>
      <sz val="12"/>
      <color theme="1"/>
      <name val="Microsoft GothicNeo"/>
      <family val="2"/>
      <charset val="129"/>
    </font>
    <font>
      <b/>
      <i/>
      <sz val="10"/>
      <color theme="1"/>
      <name val="Microsoft GothicNeo"/>
      <family val="2"/>
      <charset val="129"/>
    </font>
    <font>
      <sz val="16"/>
      <color theme="1"/>
      <name val="Microsoft GothicNeo"/>
      <family val="2"/>
      <charset val="129"/>
    </font>
    <font>
      <sz val="12"/>
      <color theme="1"/>
      <name val="Microsoft GothicNeo"/>
      <family val="2"/>
      <charset val="129"/>
    </font>
    <font>
      <b/>
      <sz val="12"/>
      <name val="Microsoft GothicNeo"/>
      <family val="2"/>
      <charset val="129"/>
    </font>
    <font>
      <b/>
      <i/>
      <u/>
      <sz val="11"/>
      <color theme="1"/>
      <name val="Microsoft GothicNeo"/>
      <family val="2"/>
      <charset val="129"/>
    </font>
    <font>
      <b/>
      <i/>
      <sz val="11"/>
      <color theme="1"/>
      <name val="Microsoft GothicNeo"/>
      <family val="2"/>
      <charset val="129"/>
    </font>
    <font>
      <i/>
      <sz val="10"/>
      <color theme="1"/>
      <name val="Microsoft GothicNeo"/>
      <family val="2"/>
      <charset val="129"/>
    </font>
    <font>
      <b/>
      <sz val="16"/>
      <name val="Microsoft GothicNeo"/>
      <family val="2"/>
      <charset val="129"/>
    </font>
    <font>
      <b/>
      <sz val="16"/>
      <color rgb="FFFF0000"/>
      <name val="Microsoft GothicNeo"/>
      <family val="2"/>
      <charset val="129"/>
    </font>
    <font>
      <b/>
      <sz val="12"/>
      <color rgb="FF0000CC"/>
      <name val="Microsoft GothicNeo"/>
      <family val="2"/>
      <charset val="129"/>
    </font>
    <font>
      <b/>
      <sz val="14"/>
      <name val="Microsoft GothicNeo"/>
      <family val="2"/>
      <charset val="129"/>
    </font>
    <font>
      <u/>
      <sz val="11"/>
      <color theme="10"/>
      <name val="Microsoft GothicNeo"/>
      <family val="2"/>
      <charset val="129"/>
    </font>
    <font>
      <b/>
      <sz val="14"/>
      <color rgb="FFFF0000"/>
      <name val="Microsoft GothicNeo"/>
      <family val="2"/>
      <charset val="129"/>
    </font>
    <font>
      <b/>
      <sz val="11"/>
      <color rgb="FF0000CC"/>
      <name val="Microsoft GothicNeo"/>
      <family val="2"/>
      <charset val="129"/>
    </font>
    <font>
      <b/>
      <sz val="11"/>
      <color theme="1"/>
      <name val="Calibri"/>
      <family val="2"/>
      <scheme val="minor"/>
    </font>
    <font>
      <sz val="14"/>
      <color theme="1"/>
      <name val="Microsoft GothicNeo"/>
      <family val="2"/>
      <charset val="129"/>
    </font>
    <font>
      <sz val="20"/>
      <color theme="1"/>
      <name val="Microsoft GothicNeo"/>
      <family val="2"/>
      <charset val="129"/>
    </font>
    <font>
      <b/>
      <sz val="20"/>
      <color theme="1"/>
      <name val="Microsoft GothicNeo"/>
      <family val="2"/>
      <charset val="129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i/>
      <sz val="18"/>
      <color rgb="FF0000CC"/>
      <name val="Microsoft GothicNeo"/>
      <family val="2"/>
      <charset val="129"/>
    </font>
    <font>
      <sz val="12"/>
      <color rgb="FF000000"/>
      <name val="Microsoft GothicNeo"/>
      <family val="2"/>
      <charset val="129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sz val="12"/>
      <color rgb="FF000000"/>
      <name val="Microsoft GothicNeo"/>
      <family val="2"/>
      <charset val="129"/>
    </font>
    <font>
      <sz val="12"/>
      <name val="Microsoft GothicNeo"/>
      <family val="2"/>
      <charset val="129"/>
    </font>
    <font>
      <b/>
      <sz val="9"/>
      <name val="Microsoft GothicNeo"/>
      <family val="2"/>
      <charset val="129"/>
    </font>
    <font>
      <sz val="11"/>
      <color rgb="FF0000CC"/>
      <name val="Microsoft GothicNeo"/>
      <family val="2"/>
      <charset val="129"/>
    </font>
    <font>
      <sz val="11"/>
      <color theme="1"/>
      <name val="Cordia New"/>
      <family val="2"/>
      <charset val="222"/>
    </font>
    <font>
      <b/>
      <sz val="11"/>
      <color theme="1"/>
      <name val="Cordia New"/>
      <family val="2"/>
      <charset val="222"/>
    </font>
    <font>
      <b/>
      <i/>
      <sz val="14"/>
      <name val="Microsoft GothicNeo"/>
      <family val="2"/>
      <charset val="129"/>
    </font>
    <font>
      <b/>
      <i/>
      <sz val="12"/>
      <name val="Microsoft GothicNeo"/>
      <family val="2"/>
      <charset val="129"/>
    </font>
    <font>
      <sz val="12"/>
      <color theme="1"/>
      <name val="Cordia New"/>
      <family val="2"/>
      <charset val="222"/>
    </font>
    <font>
      <u/>
      <sz val="12"/>
      <color rgb="FF0000CC"/>
      <name val="Microsoft GothicNeo"/>
      <family val="2"/>
      <charset val="129"/>
    </font>
    <font>
      <sz val="10"/>
      <name val="Cordia New"/>
      <family val="2"/>
      <charset val="222"/>
    </font>
    <font>
      <u/>
      <sz val="11"/>
      <color rgb="FF0000CC"/>
      <name val="Cordia New"/>
      <family val="2"/>
      <charset val="222"/>
    </font>
    <font>
      <sz val="10"/>
      <color theme="1"/>
      <name val="Cordia New"/>
      <family val="2"/>
      <charset val="222"/>
    </font>
    <font>
      <u/>
      <sz val="11"/>
      <color theme="10"/>
      <name val="Cordia New"/>
      <family val="2"/>
      <charset val="222"/>
    </font>
    <font>
      <sz val="11"/>
      <name val="Cordia New"/>
      <family val="2"/>
      <charset val="222"/>
    </font>
    <font>
      <sz val="9"/>
      <color rgb="FFC00000"/>
      <name val="Aptos"/>
      <family val="2"/>
    </font>
    <font>
      <b/>
      <sz val="14"/>
      <color theme="1"/>
      <name val="Microsoft GothicNeo Light"/>
      <family val="2"/>
      <charset val="129"/>
    </font>
    <font>
      <b/>
      <sz val="10"/>
      <color theme="1"/>
      <name val="Microsoft GothicNeo Light"/>
      <family val="2"/>
      <charset val="129"/>
    </font>
    <font>
      <b/>
      <sz val="7"/>
      <color theme="1"/>
      <name val="Microsoft GothicNeo Light"/>
      <family val="2"/>
      <charset val="129"/>
    </font>
    <font>
      <b/>
      <sz val="11"/>
      <color theme="1"/>
      <name val="Microsoft GothicNeo Light"/>
      <family val="2"/>
      <charset val="129"/>
    </font>
    <font>
      <b/>
      <sz val="12"/>
      <color rgb="FFED0000"/>
      <name val="Microsoft GothicNeo"/>
      <family val="2"/>
      <charset val="129"/>
    </font>
    <font>
      <sz val="12"/>
      <color rgb="FFED0000"/>
      <name val="Microsoft GothicNeo"/>
      <family val="2"/>
      <charset val="129"/>
    </font>
    <font>
      <sz val="11"/>
      <color rgb="FFED0000"/>
      <name val="Microsoft GothicNeo"/>
      <family val="2"/>
      <charset val="129"/>
    </font>
    <font>
      <b/>
      <sz val="11"/>
      <color rgb="FFED0000"/>
      <name val="Microsoft GothicNeo"/>
      <family val="2"/>
      <charset val="129"/>
    </font>
    <font>
      <b/>
      <sz val="11"/>
      <color rgb="FFC00000"/>
      <name val="Microsoft GothicNeo"/>
      <family val="2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0" fontId="17" fillId="0" borderId="0"/>
    <xf numFmtId="0" fontId="18" fillId="0" borderId="0" applyNumberFormat="0" applyFill="0" applyBorder="0" applyAlignment="0" applyProtection="0"/>
  </cellStyleXfs>
  <cellXfs count="511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1" applyNumberFormat="1" applyFont="1"/>
    <xf numFmtId="0" fontId="4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3" fontId="2" fillId="0" borderId="0" xfId="0" applyNumberFormat="1" applyFont="1"/>
    <xf numFmtId="167" fontId="15" fillId="2" borderId="0" xfId="0" applyNumberFormat="1" applyFont="1" applyFill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43" fontId="22" fillId="0" borderId="0" xfId="1" applyFont="1" applyAlignment="1">
      <alignment horizontal="right" vertical="center"/>
    </xf>
    <xf numFmtId="43" fontId="22" fillId="0" borderId="0" xfId="1" applyFont="1" applyFill="1" applyAlignment="1">
      <alignment horizontal="right" vertical="center"/>
    </xf>
    <xf numFmtId="43" fontId="21" fillId="0" borderId="0" xfId="1" applyFont="1" applyFill="1" applyAlignment="1">
      <alignment horizontal="right"/>
    </xf>
    <xf numFmtId="43" fontId="21" fillId="0" borderId="0" xfId="1" applyFont="1" applyFill="1" applyAlignment="1">
      <alignment horizontal="center"/>
    </xf>
    <xf numFmtId="43" fontId="21" fillId="0" borderId="0" xfId="1" applyFont="1" applyFill="1" applyAlignment="1">
      <alignment horizontal="center" vertical="center"/>
    </xf>
    <xf numFmtId="43" fontId="21" fillId="0" borderId="0" xfId="1" applyFont="1" applyFill="1" applyBorder="1" applyAlignment="1">
      <alignment horizontal="center" vertical="center"/>
    </xf>
    <xf numFmtId="43" fontId="21" fillId="0" borderId="0" xfId="1" applyFont="1" applyFill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16" xfId="0" applyFont="1" applyBorder="1"/>
    <xf numFmtId="0" fontId="19" fillId="0" borderId="2" xfId="0" applyFont="1" applyBorder="1"/>
    <xf numFmtId="0" fontId="28" fillId="0" borderId="0" xfId="0" applyFont="1"/>
    <xf numFmtId="0" fontId="24" fillId="0" borderId="0" xfId="0" applyFont="1" applyAlignment="1">
      <alignment horizontal="center"/>
    </xf>
    <xf numFmtId="0" fontId="29" fillId="0" borderId="2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1" fillId="0" borderId="2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3" fillId="0" borderId="2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21" fillId="0" borderId="0" xfId="0" applyFont="1"/>
    <xf numFmtId="166" fontId="22" fillId="0" borderId="0" xfId="1" applyNumberFormat="1" applyFont="1" applyFill="1" applyAlignment="1">
      <alignment horizontal="center"/>
    </xf>
    <xf numFmtId="166" fontId="22" fillId="0" borderId="0" xfId="1" applyNumberFormat="1" applyFont="1" applyFill="1"/>
    <xf numFmtId="0" fontId="21" fillId="0" borderId="4" xfId="0" applyFont="1" applyBorder="1"/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right"/>
    </xf>
    <xf numFmtId="10" fontId="21" fillId="0" borderId="0" xfId="2" applyNumberFormat="1" applyFont="1" applyFill="1" applyAlignment="1">
      <alignment horizontal="center" vertical="center"/>
    </xf>
    <xf numFmtId="10" fontId="21" fillId="0" borderId="0" xfId="2" applyNumberFormat="1" applyFont="1" applyFill="1" applyBorder="1" applyAlignment="1">
      <alignment horizontal="center" vertical="center"/>
    </xf>
    <xf numFmtId="10" fontId="22" fillId="0" borderId="0" xfId="2" applyNumberFormat="1" applyFont="1" applyAlignment="1">
      <alignment horizontal="right" vertical="center"/>
    </xf>
    <xf numFmtId="10" fontId="22" fillId="0" borderId="0" xfId="2" applyNumberFormat="1" applyFont="1" applyFill="1" applyAlignment="1">
      <alignment horizontal="right"/>
    </xf>
    <xf numFmtId="10" fontId="21" fillId="0" borderId="0" xfId="2" applyNumberFormat="1" applyFont="1" applyFill="1" applyAlignment="1">
      <alignment horizontal="right"/>
    </xf>
    <xf numFmtId="10" fontId="21" fillId="0" borderId="0" xfId="2" applyNumberFormat="1" applyFont="1" applyFill="1" applyAlignment="1">
      <alignment horizontal="center"/>
    </xf>
    <xf numFmtId="10" fontId="21" fillId="0" borderId="0" xfId="2" applyNumberFormat="1" applyFont="1" applyFill="1"/>
    <xf numFmtId="0" fontId="19" fillId="3" borderId="20" xfId="0" applyFont="1" applyFill="1" applyBorder="1" applyAlignment="1">
      <alignment horizontal="center"/>
    </xf>
    <xf numFmtId="0" fontId="19" fillId="3" borderId="22" xfId="0" applyFont="1" applyFill="1" applyBorder="1" applyAlignment="1">
      <alignment horizontal="center"/>
    </xf>
    <xf numFmtId="2" fontId="38" fillId="0" borderId="0" xfId="0" applyNumberFormat="1" applyFont="1" applyAlignment="1">
      <alignment horizontal="center"/>
    </xf>
    <xf numFmtId="164" fontId="38" fillId="0" borderId="0" xfId="1" applyNumberFormat="1" applyFont="1" applyAlignment="1"/>
    <xf numFmtId="2" fontId="22" fillId="0" borderId="0" xfId="0" applyNumberFormat="1" applyFont="1" applyAlignment="1">
      <alignment horizontal="center"/>
    </xf>
    <xf numFmtId="0" fontId="34" fillId="0" borderId="0" xfId="0" applyFont="1"/>
    <xf numFmtId="43" fontId="24" fillId="0" borderId="0" xfId="1" applyFont="1" applyFill="1"/>
    <xf numFmtId="2" fontId="38" fillId="0" borderId="4" xfId="0" applyNumberFormat="1" applyFont="1" applyBorder="1" applyAlignment="1">
      <alignment horizontal="center"/>
    </xf>
    <xf numFmtId="10" fontId="22" fillId="0" borderId="0" xfId="2" applyNumberFormat="1" applyFont="1" applyFill="1" applyAlignment="1">
      <alignment horizontal="center"/>
    </xf>
    <xf numFmtId="0" fontId="19" fillId="0" borderId="2" xfId="0" applyFont="1" applyBorder="1" applyAlignment="1">
      <alignment horizontal="center"/>
    </xf>
    <xf numFmtId="0" fontId="31" fillId="0" borderId="17" xfId="0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2" fontId="21" fillId="0" borderId="0" xfId="0" applyNumberFormat="1" applyFont="1" applyAlignment="1">
      <alignment horizontal="center"/>
    </xf>
    <xf numFmtId="0" fontId="19" fillId="0" borderId="4" xfId="0" applyFont="1" applyBorder="1"/>
    <xf numFmtId="2" fontId="22" fillId="0" borderId="0" xfId="0" applyNumberFormat="1" applyFont="1" applyAlignment="1">
      <alignment horizontal="right" vertical="center"/>
    </xf>
    <xf numFmtId="2" fontId="21" fillId="0" borderId="0" xfId="0" applyNumberFormat="1" applyFont="1"/>
    <xf numFmtId="2" fontId="21" fillId="0" borderId="0" xfId="0" applyNumberFormat="1" applyFont="1" applyAlignment="1">
      <alignment horizontal="right"/>
    </xf>
    <xf numFmtId="10" fontId="21" fillId="0" borderId="0" xfId="0" applyNumberFormat="1" applyFont="1"/>
    <xf numFmtId="0" fontId="39" fillId="0" borderId="0" xfId="0" applyFont="1" applyAlignment="1">
      <alignment horizontal="center"/>
    </xf>
    <xf numFmtId="0" fontId="40" fillId="0" borderId="0" xfId="0" applyFont="1"/>
    <xf numFmtId="0" fontId="41" fillId="0" borderId="17" xfId="0" applyFont="1" applyBorder="1" applyAlignment="1">
      <alignment horizontal="center"/>
    </xf>
    <xf numFmtId="0" fontId="36" fillId="0" borderId="0" xfId="0" applyFont="1" applyAlignment="1">
      <alignment horizontal="right"/>
    </xf>
    <xf numFmtId="0" fontId="28" fillId="0" borderId="0" xfId="0" applyFont="1" applyAlignment="1">
      <alignment horizontal="center"/>
    </xf>
    <xf numFmtId="0" fontId="21" fillId="0" borderId="24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10" fontId="21" fillId="0" borderId="0" xfId="2" applyNumberFormat="1" applyFont="1"/>
    <xf numFmtId="10" fontId="21" fillId="0" borderId="0" xfId="1" applyNumberFormat="1" applyFont="1" applyFill="1"/>
    <xf numFmtId="10" fontId="43" fillId="0" borderId="0" xfId="2" applyNumberFormat="1" applyFont="1" applyFill="1" applyAlignment="1">
      <alignment horizontal="center"/>
    </xf>
    <xf numFmtId="164" fontId="21" fillId="0" borderId="0" xfId="1" applyNumberFormat="1" applyFont="1"/>
    <xf numFmtId="0" fontId="19" fillId="0" borderId="0" xfId="0" applyFont="1" applyAlignment="1">
      <alignment horizontal="left"/>
    </xf>
    <xf numFmtId="0" fontId="21" fillId="0" borderId="2" xfId="0" applyFont="1" applyBorder="1"/>
    <xf numFmtId="0" fontId="34" fillId="0" borderId="7" xfId="0" applyFont="1" applyBorder="1" applyAlignment="1">
      <alignment horizontal="center"/>
    </xf>
    <xf numFmtId="0" fontId="34" fillId="0" borderId="10" xfId="0" applyFont="1" applyBorder="1" applyAlignment="1">
      <alignment horizontal="center"/>
    </xf>
    <xf numFmtId="0" fontId="34" fillId="0" borderId="0" xfId="0" applyFont="1" applyAlignment="1">
      <alignment horizontal="center"/>
    </xf>
    <xf numFmtId="15" fontId="34" fillId="0" borderId="10" xfId="0" applyNumberFormat="1" applyFont="1" applyBorder="1" applyAlignment="1">
      <alignment horizontal="center"/>
    </xf>
    <xf numFmtId="15" fontId="34" fillId="0" borderId="0" xfId="0" quotePrefix="1" applyNumberFormat="1" applyFont="1" applyAlignment="1">
      <alignment horizontal="center"/>
    </xf>
    <xf numFmtId="0" fontId="22" fillId="0" borderId="10" xfId="0" applyFont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34" fillId="0" borderId="3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5" fillId="0" borderId="3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35" fillId="0" borderId="11" xfId="0" applyFont="1" applyBorder="1" applyAlignment="1">
      <alignment horizontal="center"/>
    </xf>
    <xf numFmtId="0" fontId="34" fillId="0" borderId="10" xfId="0" applyFont="1" applyBorder="1"/>
    <xf numFmtId="0" fontId="34" fillId="0" borderId="7" xfId="0" applyFont="1" applyBorder="1"/>
    <xf numFmtId="0" fontId="38" fillId="0" borderId="0" xfId="0" applyFont="1" applyAlignment="1">
      <alignment horizontal="center"/>
    </xf>
    <xf numFmtId="2" fontId="38" fillId="0" borderId="10" xfId="0" applyNumberFormat="1" applyFont="1" applyBorder="1" applyAlignment="1">
      <alignment horizontal="center"/>
    </xf>
    <xf numFmtId="3" fontId="38" fillId="0" borderId="0" xfId="0" applyNumberFormat="1" applyFont="1"/>
    <xf numFmtId="0" fontId="37" fillId="0" borderId="0" xfId="0" applyFont="1"/>
    <xf numFmtId="0" fontId="37" fillId="0" borderId="2" xfId="0" applyFont="1" applyBorder="1"/>
    <xf numFmtId="0" fontId="37" fillId="0" borderId="5" xfId="0" applyFont="1" applyBorder="1"/>
    <xf numFmtId="0" fontId="37" fillId="0" borderId="6" xfId="0" applyFont="1" applyBorder="1"/>
    <xf numFmtId="15" fontId="34" fillId="0" borderId="6" xfId="0" quotePrefix="1" applyNumberFormat="1" applyFont="1" applyBorder="1" applyAlignment="1">
      <alignment horizontal="center"/>
    </xf>
    <xf numFmtId="0" fontId="19" fillId="0" borderId="6" xfId="0" applyFont="1" applyBorder="1"/>
    <xf numFmtId="0" fontId="37" fillId="0" borderId="12" xfId="0" applyFont="1" applyBorder="1"/>
    <xf numFmtId="15" fontId="34" fillId="0" borderId="13" xfId="0" quotePrefix="1" applyNumberFormat="1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0" fontId="34" fillId="0" borderId="14" xfId="0" applyFont="1" applyBorder="1" applyAlignment="1">
      <alignment horizontal="center"/>
    </xf>
    <xf numFmtId="0" fontId="35" fillId="0" borderId="15" xfId="0" applyFont="1" applyBorder="1" applyAlignment="1">
      <alignment horizontal="center"/>
    </xf>
    <xf numFmtId="0" fontId="34" fillId="0" borderId="13" xfId="0" applyFont="1" applyBorder="1"/>
    <xf numFmtId="164" fontId="38" fillId="0" borderId="0" xfId="1" applyNumberFormat="1" applyFont="1" applyFill="1" applyBorder="1"/>
    <xf numFmtId="10" fontId="38" fillId="0" borderId="0" xfId="2" applyNumberFormat="1" applyFont="1" applyFill="1" applyBorder="1"/>
    <xf numFmtId="10" fontId="38" fillId="0" borderId="13" xfId="2" applyNumberFormat="1" applyFont="1" applyFill="1" applyBorder="1"/>
    <xf numFmtId="0" fontId="37" fillId="0" borderId="8" xfId="0" applyFont="1" applyBorder="1"/>
    <xf numFmtId="0" fontId="37" fillId="0" borderId="14" xfId="0" applyFont="1" applyBorder="1"/>
    <xf numFmtId="0" fontId="34" fillId="0" borderId="0" xfId="0" applyFont="1" applyAlignment="1">
      <alignment horizontal="right"/>
    </xf>
    <xf numFmtId="164" fontId="21" fillId="0" borderId="0" xfId="0" applyNumberFormat="1" applyFont="1"/>
    <xf numFmtId="10" fontId="34" fillId="0" borderId="0" xfId="0" applyNumberFormat="1" applyFont="1" applyAlignment="1">
      <alignment horizontal="right"/>
    </xf>
    <xf numFmtId="10" fontId="34" fillId="0" borderId="0" xfId="2" applyNumberFormat="1" applyFont="1" applyFill="1"/>
    <xf numFmtId="10" fontId="34" fillId="0" borderId="0" xfId="2" applyNumberFormat="1" applyFont="1"/>
    <xf numFmtId="2" fontId="19" fillId="0" borderId="0" xfId="0" applyNumberFormat="1" applyFont="1"/>
    <xf numFmtId="0" fontId="28" fillId="0" borderId="0" xfId="0" applyFont="1" applyAlignment="1">
      <alignment horizontal="right"/>
    </xf>
    <xf numFmtId="0" fontId="22" fillId="0" borderId="0" xfId="0" applyFont="1"/>
    <xf numFmtId="0" fontId="20" fillId="0" borderId="0" xfId="0" applyFont="1"/>
    <xf numFmtId="0" fontId="20" fillId="0" borderId="0" xfId="0" applyFont="1" applyAlignment="1">
      <alignment horizontal="left"/>
    </xf>
    <xf numFmtId="165" fontId="21" fillId="0" borderId="0" xfId="3" applyNumberFormat="1" applyFont="1" applyFill="1" applyAlignment="1">
      <alignment horizontal="center"/>
    </xf>
    <xf numFmtId="164" fontId="22" fillId="0" borderId="0" xfId="1" applyNumberFormat="1" applyFont="1" applyFill="1"/>
    <xf numFmtId="10" fontId="22" fillId="0" borderId="0" xfId="2" applyNumberFormat="1" applyFont="1" applyFill="1"/>
    <xf numFmtId="0" fontId="28" fillId="0" borderId="2" xfId="0" applyFont="1" applyBorder="1" applyAlignment="1">
      <alignment horizontal="center"/>
    </xf>
    <xf numFmtId="10" fontId="38" fillId="0" borderId="0" xfId="2" applyNumberFormat="1" applyFont="1" applyFill="1" applyAlignment="1">
      <alignment horizontal="center"/>
    </xf>
    <xf numFmtId="10" fontId="38" fillId="0" borderId="0" xfId="2" applyNumberFormat="1" applyFont="1" applyFill="1"/>
    <xf numFmtId="2" fontId="34" fillId="0" borderId="2" xfId="0" applyNumberFormat="1" applyFont="1" applyBorder="1" applyAlignment="1">
      <alignment horizontal="center"/>
    </xf>
    <xf numFmtId="10" fontId="34" fillId="0" borderId="2" xfId="2" applyNumberFormat="1" applyFont="1" applyBorder="1"/>
    <xf numFmtId="10" fontId="34" fillId="0" borderId="0" xfId="0" applyNumberFormat="1" applyFont="1" applyAlignment="1">
      <alignment horizontal="center"/>
    </xf>
    <xf numFmtId="2" fontId="34" fillId="0" borderId="0" xfId="0" applyNumberFormat="1" applyFont="1" applyAlignment="1">
      <alignment horizontal="center"/>
    </xf>
    <xf numFmtId="0" fontId="38" fillId="0" borderId="0" xfId="0" applyFont="1"/>
    <xf numFmtId="0" fontId="34" fillId="0" borderId="0" xfId="0" applyFont="1" applyAlignment="1">
      <alignment horizontal="left"/>
    </xf>
    <xf numFmtId="10" fontId="19" fillId="0" borderId="0" xfId="0" applyNumberFormat="1" applyFont="1"/>
    <xf numFmtId="0" fontId="18" fillId="0" borderId="0" xfId="6"/>
    <xf numFmtId="0" fontId="47" fillId="0" borderId="2" xfId="0" applyFont="1" applyBorder="1"/>
    <xf numFmtId="0" fontId="0" fillId="0" borderId="2" xfId="0" applyBorder="1"/>
    <xf numFmtId="0" fontId="28" fillId="0" borderId="2" xfId="0" applyFont="1" applyBorder="1"/>
    <xf numFmtId="0" fontId="19" fillId="0" borderId="5" xfId="0" applyFont="1" applyBorder="1"/>
    <xf numFmtId="0" fontId="19" fillId="0" borderId="12" xfId="0" applyFont="1" applyBorder="1"/>
    <xf numFmtId="0" fontId="21" fillId="0" borderId="8" xfId="0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49" fillId="0" borderId="0" xfId="0" applyFont="1"/>
    <xf numFmtId="0" fontId="28" fillId="0" borderId="7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47" fillId="0" borderId="33" xfId="0" applyFont="1" applyBorder="1"/>
    <xf numFmtId="0" fontId="34" fillId="0" borderId="31" xfId="0" applyFont="1" applyBorder="1"/>
    <xf numFmtId="0" fontId="34" fillId="0" borderId="20" xfId="0" applyFont="1" applyBorder="1"/>
    <xf numFmtId="0" fontId="34" fillId="0" borderId="1" xfId="0" applyFont="1" applyBorder="1"/>
    <xf numFmtId="10" fontId="38" fillId="0" borderId="0" xfId="2" applyNumberFormat="1" applyFont="1" applyAlignment="1">
      <alignment horizontal="right" vertical="center"/>
    </xf>
    <xf numFmtId="43" fontId="38" fillId="0" borderId="0" xfId="1" applyFont="1" applyFill="1" applyAlignment="1">
      <alignment horizontal="right" vertical="center"/>
    </xf>
    <xf numFmtId="10" fontId="34" fillId="0" borderId="0" xfId="2" applyNumberFormat="1" applyFont="1" applyFill="1" applyAlignment="1">
      <alignment horizontal="right"/>
    </xf>
    <xf numFmtId="43" fontId="34" fillId="0" borderId="0" xfId="1" applyFont="1" applyFill="1" applyAlignment="1">
      <alignment horizontal="right"/>
    </xf>
    <xf numFmtId="43" fontId="34" fillId="0" borderId="0" xfId="1" applyFont="1" applyFill="1"/>
    <xf numFmtId="0" fontId="34" fillId="0" borderId="0" xfId="0" applyFont="1" applyAlignment="1">
      <alignment horizontal="center" vertical="center"/>
    </xf>
    <xf numFmtId="44" fontId="38" fillId="0" borderId="0" xfId="3" applyFont="1" applyAlignment="1">
      <alignment horizontal="center"/>
    </xf>
    <xf numFmtId="0" fontId="21" fillId="0" borderId="0" xfId="0" applyFont="1" applyAlignment="1">
      <alignment horizontal="right" vertical="center"/>
    </xf>
    <xf numFmtId="0" fontId="0" fillId="0" borderId="34" xfId="0" applyBorder="1"/>
    <xf numFmtId="0" fontId="19" fillId="0" borderId="32" xfId="0" applyFont="1" applyBorder="1"/>
    <xf numFmtId="0" fontId="24" fillId="0" borderId="34" xfId="0" applyFont="1" applyBorder="1" applyAlignment="1">
      <alignment horizontal="right"/>
    </xf>
    <xf numFmtId="10" fontId="24" fillId="0" borderId="16" xfId="2" applyNumberFormat="1" applyFont="1" applyFill="1" applyBorder="1" applyAlignment="1">
      <alignment horizontal="center"/>
    </xf>
    <xf numFmtId="0" fontId="36" fillId="0" borderId="16" xfId="0" applyFont="1" applyBorder="1" applyAlignment="1">
      <alignment horizontal="center"/>
    </xf>
    <xf numFmtId="0" fontId="23" fillId="0" borderId="32" xfId="0" applyFont="1" applyBorder="1"/>
    <xf numFmtId="0" fontId="23" fillId="0" borderId="34" xfId="0" applyFont="1" applyBorder="1" applyAlignment="1">
      <alignment horizontal="right"/>
    </xf>
    <xf numFmtId="0" fontId="23" fillId="0" borderId="34" xfId="0" applyFont="1" applyBorder="1"/>
    <xf numFmtId="0" fontId="19" fillId="0" borderId="34" xfId="0" applyFont="1" applyBorder="1"/>
    <xf numFmtId="0" fontId="34" fillId="0" borderId="7" xfId="0" applyFont="1" applyBorder="1" applyAlignment="1">
      <alignment horizontal="center" vertical="center"/>
    </xf>
    <xf numFmtId="10" fontId="34" fillId="0" borderId="0" xfId="2" applyNumberFormat="1" applyFont="1" applyBorder="1" applyAlignment="1">
      <alignment horizontal="center" vertical="center"/>
    </xf>
    <xf numFmtId="10" fontId="34" fillId="0" borderId="13" xfId="2" applyNumberFormat="1" applyFont="1" applyBorder="1" applyAlignment="1">
      <alignment horizontal="center" vertical="center"/>
    </xf>
    <xf numFmtId="0" fontId="37" fillId="0" borderId="7" xfId="0" applyFont="1" applyBorder="1"/>
    <xf numFmtId="0" fontId="37" fillId="0" borderId="13" xfId="0" applyFont="1" applyBorder="1"/>
    <xf numFmtId="0" fontId="24" fillId="0" borderId="16" xfId="0" applyFont="1" applyBorder="1" applyAlignment="1">
      <alignment horizontal="center" vertical="center"/>
    </xf>
    <xf numFmtId="0" fontId="24" fillId="0" borderId="16" xfId="0" applyFont="1" applyBorder="1" applyAlignment="1">
      <alignment horizontal="right"/>
    </xf>
    <xf numFmtId="2" fontId="34" fillId="0" borderId="16" xfId="0" applyNumberFormat="1" applyFont="1" applyBorder="1" applyAlignment="1">
      <alignment horizontal="center"/>
    </xf>
    <xf numFmtId="43" fontId="34" fillId="0" borderId="0" xfId="1" applyFont="1" applyBorder="1" applyAlignment="1">
      <alignment horizontal="center" vertical="center"/>
    </xf>
    <xf numFmtId="43" fontId="34" fillId="0" borderId="0" xfId="1" applyFont="1" applyBorder="1" applyAlignment="1">
      <alignment vertical="center"/>
    </xf>
    <xf numFmtId="10" fontId="34" fillId="0" borderId="0" xfId="2" applyNumberFormat="1" applyFont="1" applyBorder="1" applyAlignment="1">
      <alignment vertical="center"/>
    </xf>
    <xf numFmtId="10" fontId="0" fillId="0" borderId="0" xfId="2" applyNumberFormat="1" applyFont="1"/>
    <xf numFmtId="10" fontId="34" fillId="0" borderId="0" xfId="2" applyNumberFormat="1" applyFont="1" applyFill="1" applyBorder="1" applyAlignment="1">
      <alignment horizontal="center" vertical="center"/>
    </xf>
    <xf numFmtId="0" fontId="34" fillId="0" borderId="30" xfId="0" applyFont="1" applyBorder="1"/>
    <xf numFmtId="0" fontId="34" fillId="0" borderId="21" xfId="0" applyFont="1" applyBorder="1"/>
    <xf numFmtId="0" fontId="34" fillId="0" borderId="23" xfId="0" applyFont="1" applyBorder="1"/>
    <xf numFmtId="10" fontId="38" fillId="3" borderId="26" xfId="2" applyNumberFormat="1" applyFont="1" applyFill="1" applyBorder="1" applyAlignment="1">
      <alignment horizontal="center"/>
    </xf>
    <xf numFmtId="0" fontId="19" fillId="0" borderId="24" xfId="0" applyFont="1" applyBorder="1"/>
    <xf numFmtId="10" fontId="28" fillId="0" borderId="3" xfId="2" applyNumberFormat="1" applyFont="1" applyBorder="1" applyAlignment="1">
      <alignment horizontal="center" vertical="center"/>
    </xf>
    <xf numFmtId="164" fontId="21" fillId="0" borderId="0" xfId="1" applyNumberFormat="1" applyFont="1" applyFill="1" applyAlignment="1">
      <alignment horizontal="center"/>
    </xf>
    <xf numFmtId="164" fontId="21" fillId="0" borderId="0" xfId="1" applyNumberFormat="1" applyFont="1" applyFill="1" applyAlignment="1"/>
    <xf numFmtId="2" fontId="24" fillId="0" borderId="16" xfId="0" applyNumberFormat="1" applyFont="1" applyBorder="1" applyAlignment="1">
      <alignment horizontal="center"/>
    </xf>
    <xf numFmtId="10" fontId="24" fillId="0" borderId="16" xfId="2" applyNumberFormat="1" applyFont="1" applyBorder="1" applyAlignment="1">
      <alignment horizontal="center"/>
    </xf>
    <xf numFmtId="2" fontId="24" fillId="0" borderId="16" xfId="0" applyNumberFormat="1" applyFont="1" applyBorder="1" applyAlignment="1">
      <alignment horizontal="center" vertical="center"/>
    </xf>
    <xf numFmtId="10" fontId="24" fillId="0" borderId="16" xfId="2" applyNumberFormat="1" applyFont="1" applyBorder="1" applyAlignment="1">
      <alignment horizontal="center" vertical="center"/>
    </xf>
    <xf numFmtId="0" fontId="28" fillId="0" borderId="8" xfId="0" applyFont="1" applyBorder="1" applyAlignment="1">
      <alignment horizontal="right" vertical="center"/>
    </xf>
    <xf numFmtId="0" fontId="30" fillId="0" borderId="17" xfId="0" applyFont="1" applyBorder="1" applyAlignment="1">
      <alignment horizontal="center"/>
    </xf>
    <xf numFmtId="10" fontId="21" fillId="0" borderId="0" xfId="0" applyNumberFormat="1" applyFont="1" applyAlignment="1">
      <alignment horizontal="center"/>
    </xf>
    <xf numFmtId="0" fontId="21" fillId="0" borderId="2" xfId="0" quotePrefix="1" applyFont="1" applyBorder="1" applyAlignment="1">
      <alignment horizontal="center"/>
    </xf>
    <xf numFmtId="0" fontId="6" fillId="0" borderId="0" xfId="0" applyFont="1"/>
    <xf numFmtId="0" fontId="51" fillId="0" borderId="0" xfId="0" applyFont="1" applyAlignment="1">
      <alignment horizontal="center"/>
    </xf>
    <xf numFmtId="0" fontId="37" fillId="0" borderId="0" xfId="0" applyFont="1" applyAlignment="1">
      <alignment horizontal="left"/>
    </xf>
    <xf numFmtId="0" fontId="50" fillId="0" borderId="0" xfId="0" applyFont="1" applyAlignment="1">
      <alignment horizontal="left"/>
    </xf>
    <xf numFmtId="0" fontId="52" fillId="0" borderId="0" xfId="0" applyFont="1"/>
    <xf numFmtId="0" fontId="37" fillId="0" borderId="0" xfId="0" applyFont="1" applyAlignment="1">
      <alignment horizontal="right"/>
    </xf>
    <xf numFmtId="0" fontId="37" fillId="0" borderId="2" xfId="0" applyFont="1" applyBorder="1" applyAlignment="1">
      <alignment horizontal="center"/>
    </xf>
    <xf numFmtId="0" fontId="50" fillId="0" borderId="0" xfId="0" applyFont="1"/>
    <xf numFmtId="10" fontId="28" fillId="0" borderId="10" xfId="2" applyNumberFormat="1" applyFont="1" applyFill="1" applyBorder="1" applyAlignment="1">
      <alignment horizontal="center" vertical="center"/>
    </xf>
    <xf numFmtId="43" fontId="24" fillId="0" borderId="16" xfId="1" applyFont="1" applyBorder="1" applyAlignment="1">
      <alignment horizontal="center" vertical="center"/>
    </xf>
    <xf numFmtId="168" fontId="38" fillId="0" borderId="16" xfId="1" applyNumberFormat="1" applyFont="1" applyFill="1" applyBorder="1"/>
    <xf numFmtId="15" fontId="34" fillId="0" borderId="24" xfId="0" applyNumberFormat="1" applyFont="1" applyBorder="1" applyAlignment="1">
      <alignment horizontal="center"/>
    </xf>
    <xf numFmtId="15" fontId="34" fillId="0" borderId="12" xfId="0" applyNumberFormat="1" applyFont="1" applyBorder="1" applyAlignment="1">
      <alignment horizontal="center"/>
    </xf>
    <xf numFmtId="15" fontId="34" fillId="0" borderId="13" xfId="0" applyNumberFormat="1" applyFont="1" applyBorder="1" applyAlignment="1">
      <alignment horizontal="center"/>
    </xf>
    <xf numFmtId="0" fontId="34" fillId="0" borderId="13" xfId="0" applyFont="1" applyBorder="1" applyAlignment="1">
      <alignment horizontal="center"/>
    </xf>
    <xf numFmtId="0" fontId="49" fillId="0" borderId="0" xfId="0" applyFont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0" fillId="0" borderId="1" xfId="0" applyBorder="1"/>
    <xf numFmtId="0" fontId="34" fillId="0" borderId="1" xfId="0" applyFont="1" applyBorder="1" applyAlignment="1">
      <alignment horizontal="center"/>
    </xf>
    <xf numFmtId="10" fontId="38" fillId="0" borderId="1" xfId="2" applyNumberFormat="1" applyFont="1" applyFill="1" applyBorder="1" applyAlignment="1">
      <alignment horizontal="center"/>
    </xf>
    <xf numFmtId="43" fontId="38" fillId="0" borderId="1" xfId="1" applyFont="1" applyFill="1" applyBorder="1" applyAlignment="1">
      <alignment horizontal="center"/>
    </xf>
    <xf numFmtId="43" fontId="38" fillId="0" borderId="0" xfId="1" applyFont="1" applyAlignment="1">
      <alignment horizontal="center"/>
    </xf>
    <xf numFmtId="43" fontId="38" fillId="0" borderId="0" xfId="1" applyFont="1" applyFill="1" applyAlignment="1">
      <alignment horizontal="center"/>
    </xf>
    <xf numFmtId="0" fontId="49" fillId="0" borderId="0" xfId="0" applyFont="1" applyAlignment="1">
      <alignment horizontal="right"/>
    </xf>
    <xf numFmtId="43" fontId="49" fillId="0" borderId="0" xfId="0" applyNumberFormat="1" applyFont="1"/>
    <xf numFmtId="2" fontId="49" fillId="0" borderId="0" xfId="0" applyNumberFormat="1" applyFont="1"/>
    <xf numFmtId="0" fontId="34" fillId="0" borderId="5" xfId="0" applyFont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34" fillId="0" borderId="6" xfId="0" applyFont="1" applyBorder="1" applyAlignment="1">
      <alignment horizontal="center"/>
    </xf>
    <xf numFmtId="164" fontId="38" fillId="0" borderId="10" xfId="1" applyNumberFormat="1" applyFont="1" applyFill="1" applyBorder="1" applyAlignment="1">
      <alignment horizontal="center"/>
    </xf>
    <xf numFmtId="164" fontId="38" fillId="0" borderId="13" xfId="1" applyNumberFormat="1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10" fontId="38" fillId="0" borderId="0" xfId="2" applyNumberFormat="1" applyFont="1" applyFill="1" applyBorder="1" applyAlignment="1">
      <alignment horizontal="center"/>
    </xf>
    <xf numFmtId="10" fontId="38" fillId="0" borderId="0" xfId="2" applyNumberFormat="1" applyFont="1" applyBorder="1" applyAlignment="1">
      <alignment horizontal="center" vertical="center"/>
    </xf>
    <xf numFmtId="10" fontId="28" fillId="0" borderId="3" xfId="2" applyNumberFormat="1" applyFont="1" applyFill="1" applyBorder="1" applyAlignment="1">
      <alignment horizontal="center" vertical="center"/>
    </xf>
    <xf numFmtId="0" fontId="28" fillId="0" borderId="32" xfId="0" applyFont="1" applyBorder="1"/>
    <xf numFmtId="0" fontId="19" fillId="0" borderId="33" xfId="0" applyFont="1" applyBorder="1"/>
    <xf numFmtId="0" fontId="34" fillId="0" borderId="32" xfId="0" applyFont="1" applyBorder="1"/>
    <xf numFmtId="0" fontId="34" fillId="0" borderId="34" xfId="0" applyFont="1" applyBorder="1"/>
    <xf numFmtId="15" fontId="34" fillId="0" borderId="6" xfId="0" applyNumberFormat="1" applyFont="1" applyBorder="1" applyAlignment="1">
      <alignment horizontal="center"/>
    </xf>
    <xf numFmtId="15" fontId="34" fillId="0" borderId="24" xfId="0" quotePrefix="1" applyNumberFormat="1" applyFont="1" applyBorder="1" applyAlignment="1">
      <alignment horizontal="center"/>
    </xf>
    <xf numFmtId="15" fontId="34" fillId="0" borderId="0" xfId="0" applyNumberFormat="1" applyFont="1" applyAlignment="1">
      <alignment horizontal="center"/>
    </xf>
    <xf numFmtId="0" fontId="55" fillId="0" borderId="0" xfId="0" applyFont="1"/>
    <xf numFmtId="0" fontId="34" fillId="0" borderId="12" xfId="0" applyFont="1" applyBorder="1" applyAlignment="1">
      <alignment horizontal="center"/>
    </xf>
    <xf numFmtId="0" fontId="35" fillId="0" borderId="35" xfId="0" applyFont="1" applyBorder="1" applyAlignment="1">
      <alignment horizontal="center"/>
    </xf>
    <xf numFmtId="10" fontId="36" fillId="0" borderId="0" xfId="2" applyNumberFormat="1" applyFont="1" applyFill="1" applyBorder="1"/>
    <xf numFmtId="0" fontId="34" fillId="4" borderId="20" xfId="0" applyFont="1" applyFill="1" applyBorder="1"/>
    <xf numFmtId="0" fontId="38" fillId="4" borderId="20" xfId="0" applyFont="1" applyFill="1" applyBorder="1"/>
    <xf numFmtId="0" fontId="38" fillId="3" borderId="20" xfId="0" applyFont="1" applyFill="1" applyBorder="1"/>
    <xf numFmtId="0" fontId="56" fillId="0" borderId="0" xfId="0" applyFont="1" applyAlignment="1">
      <alignment horizontal="left" vertical="top" wrapText="1"/>
    </xf>
    <xf numFmtId="0" fontId="37" fillId="0" borderId="0" xfId="0" applyFont="1" applyAlignment="1">
      <alignment horizontal="left" vertical="center"/>
    </xf>
    <xf numFmtId="0" fontId="28" fillId="0" borderId="28" xfId="0" applyFont="1" applyBorder="1" applyAlignment="1">
      <alignment horizontal="center"/>
    </xf>
    <xf numFmtId="0" fontId="37" fillId="3" borderId="26" xfId="0" applyFont="1" applyFill="1" applyBorder="1" applyAlignment="1">
      <alignment horizontal="center"/>
    </xf>
    <xf numFmtId="0" fontId="19" fillId="3" borderId="26" xfId="0" applyFont="1" applyFill="1" applyBorder="1" applyAlignment="1">
      <alignment horizontal="center"/>
    </xf>
    <xf numFmtId="0" fontId="37" fillId="3" borderId="27" xfId="0" applyFont="1" applyFill="1" applyBorder="1" applyAlignment="1">
      <alignment horizontal="center"/>
    </xf>
    <xf numFmtId="0" fontId="19" fillId="3" borderId="27" xfId="0" applyFont="1" applyFill="1" applyBorder="1" applyAlignment="1">
      <alignment horizontal="center"/>
    </xf>
    <xf numFmtId="43" fontId="24" fillId="0" borderId="0" xfId="1" applyFont="1" applyFill="1" applyBorder="1" applyAlignment="1">
      <alignment horizontal="center" vertical="center"/>
    </xf>
    <xf numFmtId="0" fontId="19" fillId="3" borderId="29" xfId="0" applyFont="1" applyFill="1" applyBorder="1" applyAlignment="1">
      <alignment horizontal="center"/>
    </xf>
    <xf numFmtId="0" fontId="19" fillId="3" borderId="30" xfId="0" applyFont="1" applyFill="1" applyBorder="1" applyAlignment="1">
      <alignment horizontal="center"/>
    </xf>
    <xf numFmtId="0" fontId="19" fillId="3" borderId="21" xfId="0" applyFont="1" applyFill="1" applyBorder="1" applyAlignment="1">
      <alignment horizontal="center"/>
    </xf>
    <xf numFmtId="0" fontId="19" fillId="3" borderId="23" xfId="0" applyFont="1" applyFill="1" applyBorder="1" applyAlignment="1">
      <alignment horizontal="center"/>
    </xf>
    <xf numFmtId="0" fontId="37" fillId="3" borderId="25" xfId="0" applyFont="1" applyFill="1" applyBorder="1" applyAlignment="1">
      <alignment horizontal="center"/>
    </xf>
    <xf numFmtId="1" fontId="22" fillId="0" borderId="0" xfId="0" applyNumberFormat="1" applyFont="1" applyAlignment="1">
      <alignment horizontal="center"/>
    </xf>
    <xf numFmtId="164" fontId="22" fillId="0" borderId="0" xfId="1" applyNumberFormat="1" applyFont="1" applyFill="1" applyAlignment="1">
      <alignment horizontal="center"/>
    </xf>
    <xf numFmtId="164" fontId="22" fillId="0" borderId="1" xfId="1" applyNumberFormat="1" applyFont="1" applyFill="1" applyBorder="1" applyAlignment="1">
      <alignment horizontal="center"/>
    </xf>
    <xf numFmtId="0" fontId="40" fillId="0" borderId="14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35" fillId="0" borderId="36" xfId="0" applyFont="1" applyBorder="1" applyAlignment="1">
      <alignment horizontal="center"/>
    </xf>
    <xf numFmtId="0" fontId="35" fillId="0" borderId="17" xfId="0" applyFont="1" applyBorder="1" applyAlignment="1">
      <alignment horizontal="center"/>
    </xf>
    <xf numFmtId="0" fontId="0" fillId="0" borderId="8" xfId="0" applyBorder="1"/>
    <xf numFmtId="0" fontId="0" fillId="0" borderId="14" xfId="0" applyBorder="1"/>
    <xf numFmtId="0" fontId="34" fillId="0" borderId="16" xfId="0" applyFont="1" applyBorder="1" applyAlignment="1">
      <alignment horizontal="right"/>
    </xf>
    <xf numFmtId="0" fontId="34" fillId="0" borderId="8" xfId="0" applyFont="1" applyBorder="1"/>
    <xf numFmtId="164" fontId="38" fillId="0" borderId="3" xfId="1" applyNumberFormat="1" applyFont="1" applyFill="1" applyBorder="1" applyAlignment="1">
      <alignment horizontal="center"/>
    </xf>
    <xf numFmtId="165" fontId="22" fillId="0" borderId="0" xfId="3" applyNumberFormat="1" applyFont="1" applyFill="1" applyAlignment="1">
      <alignment horizontal="right"/>
    </xf>
    <xf numFmtId="2" fontId="15" fillId="0" borderId="0" xfId="0" applyNumberFormat="1" applyFont="1" applyAlignment="1">
      <alignment horizontal="center"/>
    </xf>
    <xf numFmtId="2" fontId="15" fillId="0" borderId="4" xfId="0" applyNumberFormat="1" applyFont="1" applyBorder="1" applyAlignment="1">
      <alignment horizontal="center"/>
    </xf>
    <xf numFmtId="0" fontId="35" fillId="0" borderId="37" xfId="0" applyFont="1" applyBorder="1" applyAlignment="1">
      <alignment horizontal="center"/>
    </xf>
    <xf numFmtId="2" fontId="38" fillId="0" borderId="13" xfId="0" applyNumberFormat="1" applyFont="1" applyBorder="1" applyAlignment="1">
      <alignment horizontal="center"/>
    </xf>
    <xf numFmtId="164" fontId="0" fillId="0" borderId="0" xfId="1" applyNumberFormat="1" applyFont="1"/>
    <xf numFmtId="164" fontId="21" fillId="0" borderId="0" xfId="0" applyNumberFormat="1" applyFont="1" applyAlignment="1">
      <alignment horizontal="right"/>
    </xf>
    <xf numFmtId="10" fontId="24" fillId="0" borderId="32" xfId="2" applyNumberFormat="1" applyFont="1" applyFill="1" applyBorder="1" applyAlignment="1">
      <alignment horizontal="right"/>
    </xf>
    <xf numFmtId="10" fontId="24" fillId="0" borderId="34" xfId="0" applyNumberFormat="1" applyFont="1" applyBorder="1"/>
    <xf numFmtId="10" fontId="38" fillId="0" borderId="16" xfId="2" applyNumberFormat="1" applyFont="1" applyFill="1" applyBorder="1"/>
    <xf numFmtId="43" fontId="24" fillId="0" borderId="16" xfId="1" applyFont="1" applyFill="1" applyBorder="1" applyAlignment="1">
      <alignment horizontal="center" vertical="center"/>
    </xf>
    <xf numFmtId="0" fontId="0" fillId="0" borderId="6" xfId="0" applyBorder="1"/>
    <xf numFmtId="10" fontId="38" fillId="0" borderId="0" xfId="2" applyNumberFormat="1" applyFont="1" applyFill="1" applyBorder="1" applyAlignment="1">
      <alignment horizontal="right"/>
    </xf>
    <xf numFmtId="10" fontId="22" fillId="0" borderId="0" xfId="2" applyNumberFormat="1" applyFont="1" applyFill="1" applyAlignment="1">
      <alignment horizontal="center" vertical="center"/>
    </xf>
    <xf numFmtId="10" fontId="22" fillId="0" borderId="1" xfId="2" applyNumberFormat="1" applyFont="1" applyFill="1" applyBorder="1" applyAlignment="1">
      <alignment horizontal="center" vertical="center"/>
    </xf>
    <xf numFmtId="10" fontId="22" fillId="0" borderId="0" xfId="2" applyNumberFormat="1" applyFont="1" applyFill="1" applyAlignment="1">
      <alignment horizontal="right" vertical="center"/>
    </xf>
    <xf numFmtId="10" fontId="36" fillId="0" borderId="28" xfId="2" applyNumberFormat="1" applyFont="1" applyFill="1" applyBorder="1"/>
    <xf numFmtId="43" fontId="36" fillId="0" borderId="28" xfId="1" applyFont="1" applyFill="1" applyBorder="1"/>
    <xf numFmtId="2" fontId="36" fillId="0" borderId="28" xfId="0" applyNumberFormat="1" applyFont="1" applyBorder="1"/>
    <xf numFmtId="10" fontId="21" fillId="0" borderId="0" xfId="2" applyNumberFormat="1" applyFont="1" applyFill="1" applyAlignment="1">
      <alignment horizontal="right" vertical="center"/>
    </xf>
    <xf numFmtId="10" fontId="21" fillId="0" borderId="0" xfId="2" applyNumberFormat="1" applyFont="1" applyFill="1" applyBorder="1" applyAlignment="1">
      <alignment horizontal="right" vertical="center"/>
    </xf>
    <xf numFmtId="10" fontId="23" fillId="0" borderId="16" xfId="2" applyNumberFormat="1" applyFont="1" applyFill="1" applyBorder="1"/>
    <xf numFmtId="10" fontId="23" fillId="0" borderId="16" xfId="2" applyNumberFormat="1" applyFont="1" applyFill="1" applyBorder="1" applyAlignment="1">
      <alignment horizontal="center"/>
    </xf>
    <xf numFmtId="0" fontId="58" fillId="0" borderId="0" xfId="0" applyFont="1"/>
    <xf numFmtId="0" fontId="19" fillId="0" borderId="23" xfId="0" applyFont="1" applyBorder="1"/>
    <xf numFmtId="0" fontId="0" fillId="0" borderId="33" xfId="0" applyBorder="1"/>
    <xf numFmtId="10" fontId="22" fillId="0" borderId="0" xfId="2" applyNumberFormat="1" applyFont="1" applyAlignment="1">
      <alignment horizontal="right"/>
    </xf>
    <xf numFmtId="10" fontId="22" fillId="0" borderId="4" xfId="2" applyNumberFormat="1" applyFont="1" applyFill="1" applyBorder="1" applyAlignment="1">
      <alignment horizontal="right"/>
    </xf>
    <xf numFmtId="10" fontId="22" fillId="0" borderId="4" xfId="2" applyNumberFormat="1" applyFont="1" applyBorder="1" applyAlignment="1">
      <alignment horizontal="right"/>
    </xf>
    <xf numFmtId="0" fontId="15" fillId="0" borderId="0" xfId="0" applyFont="1" applyAlignment="1">
      <alignment horizontal="center"/>
    </xf>
    <xf numFmtId="0" fontId="38" fillId="0" borderId="10" xfId="0" applyFont="1" applyBorder="1"/>
    <xf numFmtId="3" fontId="38" fillId="0" borderId="3" xfId="0" applyNumberFormat="1" applyFont="1" applyBorder="1"/>
    <xf numFmtId="3" fontId="38" fillId="0" borderId="14" xfId="0" applyNumberFormat="1" applyFont="1" applyBorder="1"/>
    <xf numFmtId="3" fontId="38" fillId="0" borderId="10" xfId="0" applyNumberFormat="1" applyFont="1" applyBorder="1"/>
    <xf numFmtId="3" fontId="38" fillId="0" borderId="13" xfId="0" applyNumberFormat="1" applyFont="1" applyBorder="1"/>
    <xf numFmtId="3" fontId="34" fillId="0" borderId="10" xfId="0" applyNumberFormat="1" applyFont="1" applyBorder="1"/>
    <xf numFmtId="3" fontId="59" fillId="0" borderId="10" xfId="0" applyNumberFormat="1" applyFont="1" applyBorder="1"/>
    <xf numFmtId="0" fontId="44" fillId="0" borderId="7" xfId="0" applyFont="1" applyBorder="1"/>
    <xf numFmtId="164" fontId="22" fillId="0" borderId="0" xfId="1" applyNumberFormat="1" applyFont="1" applyFill="1" applyAlignment="1"/>
    <xf numFmtId="164" fontId="22" fillId="0" borderId="1" xfId="1" applyNumberFormat="1" applyFont="1" applyFill="1" applyBorder="1" applyAlignment="1"/>
    <xf numFmtId="2" fontId="38" fillId="0" borderId="38" xfId="0" applyNumberFormat="1" applyFont="1" applyBorder="1" applyAlignment="1">
      <alignment horizontal="center"/>
    </xf>
    <xf numFmtId="43" fontId="22" fillId="0" borderId="1" xfId="1" applyFont="1" applyFill="1" applyBorder="1" applyAlignment="1">
      <alignment horizontal="right" vertical="center"/>
    </xf>
    <xf numFmtId="10" fontId="22" fillId="0" borderId="1" xfId="2" applyNumberFormat="1" applyFont="1" applyFill="1" applyBorder="1" applyAlignment="1">
      <alignment horizontal="right" vertical="center"/>
    </xf>
    <xf numFmtId="43" fontId="38" fillId="0" borderId="1" xfId="1" applyFont="1" applyFill="1" applyBorder="1" applyAlignment="1">
      <alignment horizontal="right" vertical="center"/>
    </xf>
    <xf numFmtId="0" fontId="21" fillId="0" borderId="1" xfId="0" applyFont="1" applyBorder="1" applyAlignment="1">
      <alignment horizontal="right"/>
    </xf>
    <xf numFmtId="10" fontId="22" fillId="0" borderId="1" xfId="2" applyNumberFormat="1" applyFont="1" applyBorder="1" applyAlignment="1">
      <alignment horizontal="right" vertical="center"/>
    </xf>
    <xf numFmtId="0" fontId="34" fillId="0" borderId="1" xfId="0" applyFont="1" applyBorder="1" applyAlignment="1">
      <alignment horizontal="right"/>
    </xf>
    <xf numFmtId="10" fontId="34" fillId="0" borderId="1" xfId="2" applyNumberFormat="1" applyFont="1" applyFill="1" applyBorder="1"/>
    <xf numFmtId="2" fontId="22" fillId="0" borderId="1" xfId="0" applyNumberFormat="1" applyFont="1" applyBorder="1" applyAlignment="1">
      <alignment horizontal="right" vertical="center"/>
    </xf>
    <xf numFmtId="10" fontId="48" fillId="0" borderId="0" xfId="2" applyNumberFormat="1" applyFont="1" applyFill="1" applyAlignment="1">
      <alignment horizontal="right"/>
    </xf>
    <xf numFmtId="10" fontId="48" fillId="0" borderId="0" xfId="2" applyNumberFormat="1" applyFont="1" applyAlignment="1">
      <alignment horizontal="right"/>
    </xf>
    <xf numFmtId="10" fontId="48" fillId="0" borderId="4" xfId="2" applyNumberFormat="1" applyFont="1" applyBorder="1" applyAlignment="1">
      <alignment horizontal="right"/>
    </xf>
    <xf numFmtId="10" fontId="48" fillId="0" borderId="4" xfId="2" applyNumberFormat="1" applyFont="1" applyFill="1" applyBorder="1" applyAlignment="1">
      <alignment horizontal="center"/>
    </xf>
    <xf numFmtId="0" fontId="60" fillId="0" borderId="10" xfId="0" applyFont="1" applyBorder="1"/>
    <xf numFmtId="0" fontId="44" fillId="0" borderId="3" xfId="0" applyFont="1" applyBorder="1"/>
    <xf numFmtId="10" fontId="28" fillId="0" borderId="0" xfId="2" applyNumberFormat="1" applyFont="1" applyFill="1" applyBorder="1" applyAlignment="1">
      <alignment horizontal="center" vertical="center"/>
    </xf>
    <xf numFmtId="10" fontId="28" fillId="0" borderId="2" xfId="2" applyNumberFormat="1" applyFont="1" applyBorder="1" applyAlignment="1">
      <alignment horizontal="center" vertical="center"/>
    </xf>
    <xf numFmtId="0" fontId="19" fillId="0" borderId="21" xfId="0" applyFont="1" applyBorder="1"/>
    <xf numFmtId="2" fontId="38" fillId="0" borderId="7" xfId="0" applyNumberFormat="1" applyFont="1" applyBorder="1" applyAlignment="1">
      <alignment horizontal="center"/>
    </xf>
    <xf numFmtId="2" fontId="38" fillId="0" borderId="3" xfId="0" applyNumberFormat="1" applyFont="1" applyBorder="1" applyAlignment="1">
      <alignment horizontal="center"/>
    </xf>
    <xf numFmtId="2" fontId="38" fillId="0" borderId="8" xfId="0" applyNumberFormat="1" applyFont="1" applyBorder="1" applyAlignment="1">
      <alignment horizontal="center"/>
    </xf>
    <xf numFmtId="2" fontId="38" fillId="0" borderId="2" xfId="0" applyNumberFormat="1" applyFont="1" applyBorder="1" applyAlignment="1">
      <alignment horizontal="center"/>
    </xf>
    <xf numFmtId="2" fontId="38" fillId="0" borderId="14" xfId="0" applyNumberFormat="1" applyFont="1" applyBorder="1" applyAlignment="1">
      <alignment horizontal="center"/>
    </xf>
    <xf numFmtId="0" fontId="38" fillId="0" borderId="18" xfId="0" applyFont="1" applyBorder="1"/>
    <xf numFmtId="10" fontId="38" fillId="0" borderId="28" xfId="2" applyNumberFormat="1" applyFont="1" applyFill="1" applyBorder="1" applyAlignment="1">
      <alignment horizontal="center"/>
    </xf>
    <xf numFmtId="0" fontId="28" fillId="0" borderId="3" xfId="0" applyFont="1" applyBorder="1" applyAlignment="1">
      <alignment horizontal="center"/>
    </xf>
    <xf numFmtId="2" fontId="48" fillId="0" borderId="0" xfId="0" applyNumberFormat="1" applyFont="1" applyAlignment="1">
      <alignment horizontal="right"/>
    </xf>
    <xf numFmtId="0" fontId="19" fillId="0" borderId="4" xfId="0" applyFont="1" applyBorder="1" applyAlignment="1">
      <alignment horizontal="right"/>
    </xf>
    <xf numFmtId="0" fontId="21" fillId="0" borderId="39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19" fillId="0" borderId="20" xfId="0" applyFont="1" applyBorder="1"/>
    <xf numFmtId="44" fontId="48" fillId="0" borderId="20" xfId="3" applyFont="1" applyFill="1" applyBorder="1" applyAlignment="1">
      <alignment horizontal="center"/>
    </xf>
    <xf numFmtId="44" fontId="22" fillId="0" borderId="20" xfId="3" applyFont="1" applyFill="1" applyBorder="1" applyAlignment="1">
      <alignment horizontal="center"/>
    </xf>
    <xf numFmtId="0" fontId="19" fillId="0" borderId="41" xfId="0" applyFont="1" applyBorder="1"/>
    <xf numFmtId="2" fontId="22" fillId="0" borderId="20" xfId="0" applyNumberFormat="1" applyFont="1" applyBorder="1" applyAlignment="1">
      <alignment horizontal="right" vertical="center"/>
    </xf>
    <xf numFmtId="2" fontId="22" fillId="0" borderId="22" xfId="0" applyNumberFormat="1" applyFont="1" applyBorder="1" applyAlignment="1">
      <alignment horizontal="right" vertical="center"/>
    </xf>
    <xf numFmtId="2" fontId="21" fillId="0" borderId="20" xfId="0" applyNumberFormat="1" applyFont="1" applyBorder="1" applyAlignment="1">
      <alignment horizontal="right"/>
    </xf>
    <xf numFmtId="43" fontId="21" fillId="0" borderId="20" xfId="1" applyFont="1" applyFill="1" applyBorder="1" applyAlignment="1">
      <alignment horizontal="right"/>
    </xf>
    <xf numFmtId="43" fontId="24" fillId="0" borderId="0" xfId="1" applyFont="1" applyBorder="1" applyAlignment="1">
      <alignment horizontal="center" vertical="center"/>
    </xf>
    <xf numFmtId="0" fontId="0" fillId="0" borderId="4" xfId="0" applyBorder="1"/>
    <xf numFmtId="0" fontId="34" fillId="4" borderId="39" xfId="0" applyFont="1" applyFill="1" applyBorder="1"/>
    <xf numFmtId="10" fontId="38" fillId="4" borderId="39" xfId="2" applyNumberFormat="1" applyFont="1" applyFill="1" applyBorder="1" applyAlignment="1">
      <alignment horizontal="center"/>
    </xf>
    <xf numFmtId="10" fontId="38" fillId="4" borderId="20" xfId="2" applyNumberFormat="1" applyFont="1" applyFill="1" applyBorder="1" applyAlignment="1">
      <alignment horizontal="center"/>
    </xf>
    <xf numFmtId="10" fontId="19" fillId="0" borderId="20" xfId="2" applyNumberFormat="1" applyFont="1" applyFill="1" applyBorder="1"/>
    <xf numFmtId="10" fontId="19" fillId="0" borderId="20" xfId="0" applyNumberFormat="1" applyFont="1" applyBorder="1"/>
    <xf numFmtId="0" fontId="38" fillId="3" borderId="22" xfId="0" applyFont="1" applyFill="1" applyBorder="1"/>
    <xf numFmtId="10" fontId="38" fillId="3" borderId="27" xfId="2" applyNumberFormat="1" applyFont="1" applyFill="1" applyBorder="1" applyAlignment="1">
      <alignment horizontal="center"/>
    </xf>
    <xf numFmtId="0" fontId="19" fillId="0" borderId="8" xfId="0" applyFont="1" applyBorder="1"/>
    <xf numFmtId="0" fontId="19" fillId="0" borderId="14" xfId="0" applyFont="1" applyBorder="1"/>
    <xf numFmtId="10" fontId="38" fillId="4" borderId="26" xfId="2" applyNumberFormat="1" applyFont="1" applyFill="1" applyBorder="1" applyAlignment="1">
      <alignment horizontal="center"/>
    </xf>
    <xf numFmtId="0" fontId="38" fillId="3" borderId="26" xfId="0" applyFont="1" applyFill="1" applyBorder="1"/>
    <xf numFmtId="10" fontId="24" fillId="0" borderId="16" xfId="2" applyNumberFormat="1" applyFont="1" applyFill="1" applyBorder="1" applyAlignment="1">
      <alignment horizontal="center" vertical="center"/>
    </xf>
    <xf numFmtId="10" fontId="42" fillId="0" borderId="16" xfId="2" applyNumberFormat="1" applyFont="1" applyFill="1" applyBorder="1" applyAlignment="1">
      <alignment horizontal="center"/>
    </xf>
    <xf numFmtId="0" fontId="0" fillId="0" borderId="20" xfId="0" applyBorder="1"/>
    <xf numFmtId="0" fontId="34" fillId="0" borderId="4" xfId="0" applyFont="1" applyBorder="1"/>
    <xf numFmtId="0" fontId="34" fillId="0" borderId="4" xfId="0" applyFont="1" applyBorder="1" applyAlignment="1">
      <alignment horizontal="center"/>
    </xf>
    <xf numFmtId="10" fontId="38" fillId="0" borderId="4" xfId="2" applyNumberFormat="1" applyFont="1" applyFill="1" applyBorder="1"/>
    <xf numFmtId="10" fontId="38" fillId="0" borderId="4" xfId="2" applyNumberFormat="1" applyFont="1" applyFill="1" applyBorder="1" applyAlignment="1">
      <alignment horizontal="center"/>
    </xf>
    <xf numFmtId="0" fontId="46" fillId="0" borderId="0" xfId="6" applyFont="1"/>
    <xf numFmtId="0" fontId="44" fillId="0" borderId="7" xfId="0" applyFont="1" applyBorder="1" applyAlignment="1">
      <alignment horizontal="center" vertical="center"/>
    </xf>
    <xf numFmtId="0" fontId="28" fillId="3" borderId="25" xfId="0" applyFont="1" applyFill="1" applyBorder="1" applyAlignment="1">
      <alignment horizontal="center"/>
    </xf>
    <xf numFmtId="10" fontId="22" fillId="3" borderId="10" xfId="2" applyNumberFormat="1" applyFont="1" applyFill="1" applyBorder="1" applyAlignment="1">
      <alignment horizontal="center"/>
    </xf>
    <xf numFmtId="10" fontId="22" fillId="3" borderId="3" xfId="2" applyNumberFormat="1" applyFont="1" applyFill="1" applyBorder="1" applyAlignment="1">
      <alignment horizontal="center"/>
    </xf>
    <xf numFmtId="10" fontId="22" fillId="3" borderId="3" xfId="1" applyNumberFormat="1" applyFont="1" applyFill="1" applyBorder="1" applyAlignment="1">
      <alignment horizontal="center"/>
    </xf>
    <xf numFmtId="10" fontId="22" fillId="3" borderId="24" xfId="1" applyNumberFormat="1" applyFont="1" applyFill="1" applyBorder="1" applyAlignment="1">
      <alignment horizontal="center"/>
    </xf>
    <xf numFmtId="10" fontId="22" fillId="3" borderId="10" xfId="1" applyNumberFormat="1" applyFont="1" applyFill="1" applyBorder="1" applyAlignment="1">
      <alignment horizontal="center"/>
    </xf>
    <xf numFmtId="0" fontId="19" fillId="3" borderId="42" xfId="0" applyFont="1" applyFill="1" applyBorder="1" applyAlignment="1">
      <alignment horizontal="center"/>
    </xf>
    <xf numFmtId="0" fontId="37" fillId="3" borderId="0" xfId="0" applyFont="1" applyFill="1" applyAlignment="1">
      <alignment horizontal="center"/>
    </xf>
    <xf numFmtId="0" fontId="37" fillId="3" borderId="29" xfId="0" applyFont="1" applyFill="1" applyBorder="1" applyAlignment="1">
      <alignment horizontal="center"/>
    </xf>
    <xf numFmtId="0" fontId="19" fillId="3" borderId="43" xfId="0" applyFont="1" applyFill="1" applyBorder="1" applyAlignment="1">
      <alignment horizontal="center"/>
    </xf>
    <xf numFmtId="0" fontId="37" fillId="3" borderId="20" xfId="0" applyFont="1" applyFill="1" applyBorder="1" applyAlignment="1">
      <alignment horizontal="center"/>
    </xf>
    <xf numFmtId="0" fontId="19" fillId="3" borderId="44" xfId="0" applyFont="1" applyFill="1" applyBorder="1" applyAlignment="1">
      <alignment horizontal="center"/>
    </xf>
    <xf numFmtId="0" fontId="37" fillId="3" borderId="1" xfId="0" applyFont="1" applyFill="1" applyBorder="1" applyAlignment="1">
      <alignment horizontal="center"/>
    </xf>
    <xf numFmtId="0" fontId="37" fillId="3" borderId="22" xfId="0" applyFont="1" applyFill="1" applyBorder="1" applyAlignment="1">
      <alignment horizontal="center"/>
    </xf>
    <xf numFmtId="0" fontId="58" fillId="3" borderId="16" xfId="0" applyFont="1" applyFill="1" applyBorder="1"/>
    <xf numFmtId="10" fontId="22" fillId="0" borderId="1" xfId="1" applyNumberFormat="1" applyFont="1" applyFill="1" applyBorder="1" applyAlignment="1"/>
    <xf numFmtId="10" fontId="22" fillId="0" borderId="0" xfId="1" applyNumberFormat="1" applyFont="1" applyFill="1" applyAlignment="1">
      <alignment horizontal="right"/>
    </xf>
    <xf numFmtId="10" fontId="22" fillId="0" borderId="20" xfId="2" applyNumberFormat="1" applyFont="1" applyBorder="1" applyAlignment="1">
      <alignment horizontal="right" vertical="center"/>
    </xf>
    <xf numFmtId="10" fontId="22" fillId="0" borderId="22" xfId="2" applyNumberFormat="1" applyFont="1" applyBorder="1" applyAlignment="1">
      <alignment horizontal="right" vertical="center"/>
    </xf>
    <xf numFmtId="2" fontId="36" fillId="0" borderId="18" xfId="0" applyNumberFormat="1" applyFont="1" applyBorder="1"/>
    <xf numFmtId="0" fontId="61" fillId="3" borderId="24" xfId="0" applyFont="1" applyFill="1" applyBorder="1" applyAlignment="1">
      <alignment horizontal="center" vertical="center" wrapText="1"/>
    </xf>
    <xf numFmtId="0" fontId="63" fillId="0" borderId="0" xfId="0" applyFont="1"/>
    <xf numFmtId="0" fontId="64" fillId="0" borderId="0" xfId="0" applyFont="1"/>
    <xf numFmtId="0" fontId="37" fillId="0" borderId="24" xfId="0" applyFont="1" applyBorder="1"/>
    <xf numFmtId="0" fontId="37" fillId="0" borderId="3" xfId="0" applyFont="1" applyBorder="1"/>
    <xf numFmtId="0" fontId="37" fillId="0" borderId="10" xfId="0" applyFont="1" applyBorder="1"/>
    <xf numFmtId="164" fontId="38" fillId="0" borderId="10" xfId="1" applyNumberFormat="1" applyFont="1" applyFill="1" applyBorder="1"/>
    <xf numFmtId="164" fontId="44" fillId="0" borderId="10" xfId="1" applyNumberFormat="1" applyFont="1" applyFill="1" applyBorder="1"/>
    <xf numFmtId="15" fontId="34" fillId="0" borderId="10" xfId="0" quotePrefix="1" applyNumberFormat="1" applyFont="1" applyBorder="1" applyAlignment="1">
      <alignment horizontal="center"/>
    </xf>
    <xf numFmtId="10" fontId="38" fillId="0" borderId="10" xfId="2" applyNumberFormat="1" applyFont="1" applyFill="1" applyBorder="1"/>
    <xf numFmtId="0" fontId="5" fillId="0" borderId="0" xfId="0" applyFont="1"/>
    <xf numFmtId="0" fontId="45" fillId="5" borderId="25" xfId="0" applyFont="1" applyFill="1" applyBorder="1" applyAlignment="1">
      <alignment horizontal="center"/>
    </xf>
    <xf numFmtId="0" fontId="45" fillId="5" borderId="27" xfId="0" applyFont="1" applyFill="1" applyBorder="1" applyAlignment="1">
      <alignment horizontal="center"/>
    </xf>
    <xf numFmtId="0" fontId="28" fillId="0" borderId="29" xfId="0" applyFont="1" applyBorder="1"/>
    <xf numFmtId="10" fontId="45" fillId="0" borderId="25" xfId="2" applyNumberFormat="1" applyFont="1" applyFill="1" applyBorder="1" applyAlignment="1">
      <alignment horizontal="center"/>
    </xf>
    <xf numFmtId="10" fontId="65" fillId="0" borderId="25" xfId="2" applyNumberFormat="1" applyFont="1" applyFill="1" applyBorder="1" applyAlignment="1">
      <alignment horizontal="center"/>
    </xf>
    <xf numFmtId="0" fontId="28" fillId="0" borderId="20" xfId="0" applyFont="1" applyBorder="1"/>
    <xf numFmtId="10" fontId="45" fillId="0" borderId="26" xfId="2" applyNumberFormat="1" applyFont="1" applyFill="1" applyBorder="1" applyAlignment="1">
      <alignment horizontal="center"/>
    </xf>
    <xf numFmtId="10" fontId="65" fillId="0" borderId="26" xfId="2" applyNumberFormat="1" applyFont="1" applyFill="1" applyBorder="1" applyAlignment="1">
      <alignment horizontal="center"/>
    </xf>
    <xf numFmtId="0" fontId="28" fillId="0" borderId="22" xfId="0" applyFont="1" applyBorder="1"/>
    <xf numFmtId="10" fontId="45" fillId="0" borderId="27" xfId="2" applyNumberFormat="1" applyFont="1" applyFill="1" applyBorder="1" applyAlignment="1">
      <alignment horizontal="center"/>
    </xf>
    <xf numFmtId="10" fontId="65" fillId="0" borderId="27" xfId="2" applyNumberFormat="1" applyFont="1" applyFill="1" applyBorder="1" applyAlignment="1">
      <alignment horizontal="center"/>
    </xf>
    <xf numFmtId="10" fontId="28" fillId="0" borderId="26" xfId="2" applyNumberFormat="1" applyFont="1" applyFill="1" applyBorder="1" applyAlignment="1">
      <alignment horizontal="center"/>
    </xf>
    <xf numFmtId="10" fontId="28" fillId="0" borderId="27" xfId="2" applyNumberFormat="1" applyFont="1" applyFill="1" applyBorder="1" applyAlignment="1">
      <alignment horizontal="center"/>
    </xf>
    <xf numFmtId="10" fontId="45" fillId="0" borderId="26" xfId="2" applyNumberFormat="1" applyFont="1" applyBorder="1" applyAlignment="1">
      <alignment horizontal="center" vertical="center"/>
    </xf>
    <xf numFmtId="10" fontId="45" fillId="0" borderId="27" xfId="2" applyNumberFormat="1" applyFont="1" applyBorder="1" applyAlignment="1">
      <alignment horizontal="center" vertical="center"/>
    </xf>
    <xf numFmtId="10" fontId="28" fillId="0" borderId="25" xfId="2" applyNumberFormat="1" applyFont="1" applyFill="1" applyBorder="1" applyAlignment="1">
      <alignment horizontal="center"/>
    </xf>
    <xf numFmtId="0" fontId="38" fillId="0" borderId="29" xfId="0" applyFont="1" applyBorder="1"/>
    <xf numFmtId="0" fontId="19" fillId="0" borderId="31" xfId="0" applyFont="1" applyBorder="1"/>
    <xf numFmtId="0" fontId="19" fillId="0" borderId="30" xfId="0" applyFont="1" applyBorder="1"/>
    <xf numFmtId="0" fontId="0" fillId="0" borderId="30" xfId="0" applyBorder="1"/>
    <xf numFmtId="0" fontId="38" fillId="0" borderId="20" xfId="0" applyFont="1" applyBorder="1"/>
    <xf numFmtId="0" fontId="0" fillId="0" borderId="21" xfId="0" applyBorder="1"/>
    <xf numFmtId="0" fontId="38" fillId="0" borderId="22" xfId="0" applyFont="1" applyBorder="1"/>
    <xf numFmtId="0" fontId="19" fillId="0" borderId="1" xfId="0" applyFont="1" applyBorder="1"/>
    <xf numFmtId="0" fontId="0" fillId="0" borderId="23" xfId="0" applyBorder="1"/>
    <xf numFmtId="10" fontId="34" fillId="0" borderId="29" xfId="2" applyNumberFormat="1" applyFont="1" applyBorder="1" applyAlignment="1">
      <alignment horizontal="left"/>
    </xf>
    <xf numFmtId="0" fontId="0" fillId="0" borderId="31" xfId="0" applyBorder="1"/>
    <xf numFmtId="0" fontId="68" fillId="0" borderId="22" xfId="6" applyFont="1" applyBorder="1"/>
    <xf numFmtId="0" fontId="64" fillId="0" borderId="0" xfId="0" applyFont="1" applyAlignment="1">
      <alignment vertical="center"/>
    </xf>
    <xf numFmtId="15" fontId="69" fillId="0" borderId="0" xfId="0" quotePrefix="1" applyNumberFormat="1" applyFont="1" applyAlignment="1">
      <alignment horizontal="left"/>
    </xf>
    <xf numFmtId="0" fontId="70" fillId="0" borderId="0" xfId="6" applyFont="1"/>
    <xf numFmtId="0" fontId="62" fillId="0" borderId="0" xfId="0" applyFont="1"/>
    <xf numFmtId="0" fontId="71" fillId="0" borderId="0" xfId="0" applyFont="1" applyAlignment="1">
      <alignment vertical="center"/>
    </xf>
    <xf numFmtId="0" fontId="72" fillId="0" borderId="0" xfId="6" applyFont="1" applyAlignment="1">
      <alignment vertical="center"/>
    </xf>
    <xf numFmtId="0" fontId="70" fillId="0" borderId="0" xfId="6" applyFont="1" applyAlignment="1">
      <alignment vertical="center"/>
    </xf>
    <xf numFmtId="0" fontId="69" fillId="0" borderId="0" xfId="6" applyFont="1"/>
    <xf numFmtId="17" fontId="71" fillId="0" borderId="0" xfId="0" quotePrefix="1" applyNumberFormat="1" applyFont="1" applyAlignment="1">
      <alignment vertical="center"/>
    </xf>
    <xf numFmtId="0" fontId="73" fillId="0" borderId="0" xfId="6" applyFont="1" applyAlignment="1">
      <alignment vertical="center"/>
    </xf>
    <xf numFmtId="0" fontId="73" fillId="0" borderId="0" xfId="0" applyFont="1"/>
    <xf numFmtId="0" fontId="74" fillId="0" borderId="0" xfId="0" applyFont="1" applyAlignment="1">
      <alignment vertical="center"/>
    </xf>
    <xf numFmtId="0" fontId="28" fillId="5" borderId="28" xfId="0" applyFont="1" applyFill="1" applyBorder="1" applyAlignment="1">
      <alignment horizontal="center"/>
    </xf>
    <xf numFmtId="0" fontId="0" fillId="0" borderId="29" xfId="0" applyBorder="1"/>
    <xf numFmtId="0" fontId="75" fillId="0" borderId="31" xfId="0" applyFont="1" applyBorder="1" applyAlignment="1">
      <alignment horizontal="right"/>
    </xf>
    <xf numFmtId="0" fontId="0" fillId="0" borderId="25" xfId="0" applyBorder="1"/>
    <xf numFmtId="0" fontId="76" fillId="0" borderId="0" xfId="0" applyFont="1" applyAlignment="1">
      <alignment horizontal="right"/>
    </xf>
    <xf numFmtId="10" fontId="28" fillId="0" borderId="26" xfId="2" applyNumberFormat="1" applyFont="1" applyBorder="1" applyAlignment="1">
      <alignment horizontal="center"/>
    </xf>
    <xf numFmtId="0" fontId="28" fillId="0" borderId="0" xfId="0" applyFont="1" applyAlignment="1">
      <alignment horizontal="right" indent="1"/>
    </xf>
    <xf numFmtId="0" fontId="75" fillId="0" borderId="0" xfId="0" applyFont="1" applyAlignment="1">
      <alignment horizontal="right"/>
    </xf>
    <xf numFmtId="0" fontId="19" fillId="0" borderId="26" xfId="0" applyFont="1" applyBorder="1" applyAlignment="1">
      <alignment horizontal="center"/>
    </xf>
    <xf numFmtId="10" fontId="24" fillId="6" borderId="16" xfId="2" applyNumberFormat="1" applyFont="1" applyFill="1" applyBorder="1" applyAlignment="1">
      <alignment horizontal="center"/>
    </xf>
    <xf numFmtId="0" fontId="75" fillId="0" borderId="0" xfId="0" applyFont="1" applyAlignment="1">
      <alignment horizontal="right" vertical="center"/>
    </xf>
    <xf numFmtId="10" fontId="75" fillId="0" borderId="26" xfId="0" applyNumberFormat="1" applyFont="1" applyBorder="1" applyAlignment="1">
      <alignment horizontal="center"/>
    </xf>
    <xf numFmtId="0" fontId="0" fillId="0" borderId="22" xfId="0" applyBorder="1"/>
    <xf numFmtId="0" fontId="75" fillId="0" borderId="1" xfId="0" applyFont="1" applyBorder="1" applyAlignment="1">
      <alignment horizontal="right" vertical="center"/>
    </xf>
    <xf numFmtId="10" fontId="75" fillId="0" borderId="27" xfId="0" applyNumberFormat="1" applyFont="1" applyBorder="1" applyAlignment="1">
      <alignment horizontal="center"/>
    </xf>
    <xf numFmtId="15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2" fontId="5" fillId="0" borderId="0" xfId="0" applyNumberFormat="1" applyFont="1" applyAlignment="1">
      <alignment horizontal="left"/>
    </xf>
    <xf numFmtId="2" fontId="50" fillId="0" borderId="0" xfId="0" applyNumberFormat="1" applyFont="1" applyAlignment="1">
      <alignment horizontal="left"/>
    </xf>
    <xf numFmtId="10" fontId="66" fillId="0" borderId="0" xfId="2" applyNumberFormat="1" applyFont="1" applyFill="1" applyBorder="1" applyAlignment="1">
      <alignment horizontal="left"/>
    </xf>
    <xf numFmtId="0" fontId="67" fillId="0" borderId="0" xfId="0" applyFont="1" applyAlignment="1">
      <alignment horizontal="left"/>
    </xf>
    <xf numFmtId="10" fontId="42" fillId="6" borderId="16" xfId="2" applyNumberFormat="1" applyFont="1" applyFill="1" applyBorder="1" applyAlignment="1">
      <alignment horizontal="center"/>
    </xf>
    <xf numFmtId="0" fontId="19" fillId="0" borderId="0" xfId="0" applyFont="1" applyAlignment="1">
      <alignment horizontal="right"/>
    </xf>
    <xf numFmtId="0" fontId="78" fillId="0" borderId="0" xfId="0" applyFont="1"/>
    <xf numFmtId="164" fontId="38" fillId="0" borderId="13" xfId="1" applyNumberFormat="1" applyFont="1" applyFill="1" applyBorder="1"/>
    <xf numFmtId="3" fontId="59" fillId="0" borderId="10" xfId="0" applyNumberFormat="1" applyFont="1" applyBorder="1" applyAlignment="1">
      <alignment horizontal="right" vertical="center" wrapText="1"/>
    </xf>
    <xf numFmtId="0" fontId="38" fillId="0" borderId="7" xfId="0" applyFont="1" applyBorder="1"/>
    <xf numFmtId="0" fontId="18" fillId="0" borderId="0" xfId="6" applyAlignment="1">
      <alignment vertical="center"/>
    </xf>
    <xf numFmtId="0" fontId="28" fillId="5" borderId="18" xfId="0" applyFont="1" applyFill="1" applyBorder="1" applyAlignment="1">
      <alignment horizontal="center"/>
    </xf>
    <xf numFmtId="0" fontId="28" fillId="5" borderId="45" xfId="0" applyFont="1" applyFill="1" applyBorder="1" applyAlignment="1">
      <alignment horizontal="center"/>
    </xf>
    <xf numFmtId="0" fontId="28" fillId="5" borderId="19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79" fillId="0" borderId="0" xfId="0" applyNumberFormat="1" applyFont="1" applyAlignment="1">
      <alignment horizontal="center"/>
    </xf>
    <xf numFmtId="0" fontId="80" fillId="0" borderId="2" xfId="0" applyFont="1" applyBorder="1"/>
    <xf numFmtId="0" fontId="81" fillId="0" borderId="0" xfId="0" applyFont="1"/>
    <xf numFmtId="0" fontId="82" fillId="0" borderId="2" xfId="0" applyFont="1" applyBorder="1"/>
    <xf numFmtId="10" fontId="79" fillId="0" borderId="0" xfId="2" applyNumberFormat="1" applyFont="1" applyFill="1" applyBorder="1" applyAlignment="1">
      <alignment horizontal="center"/>
    </xf>
    <xf numFmtId="0" fontId="82" fillId="0" borderId="0" xfId="0" applyFont="1"/>
    <xf numFmtId="10" fontId="79" fillId="0" borderId="0" xfId="2" applyNumberFormat="1" applyFont="1" applyFill="1" applyBorder="1" applyAlignment="1">
      <alignment horizontal="center" vertical="center"/>
    </xf>
    <xf numFmtId="0" fontId="81" fillId="0" borderId="0" xfId="0" applyFont="1" applyAlignment="1">
      <alignment horizontal="left"/>
    </xf>
    <xf numFmtId="10" fontId="82" fillId="0" borderId="0" xfId="2" applyNumberFormat="1" applyFont="1" applyFill="1" applyAlignment="1">
      <alignment horizontal="center"/>
    </xf>
    <xf numFmtId="10" fontId="83" fillId="0" borderId="0" xfId="2" applyNumberFormat="1" applyFont="1" applyFill="1" applyAlignment="1">
      <alignment horizontal="right"/>
    </xf>
  </cellXfs>
  <cellStyles count="7">
    <cellStyle name="Comma" xfId="1" builtinId="3"/>
    <cellStyle name="Comma0 - Style5" xfId="4" xr:uid="{1397E544-7A5D-4627-82CA-446E9A855C6D}"/>
    <cellStyle name="Currency" xfId="3" builtinId="4"/>
    <cellStyle name="Hyperlink" xfId="6" builtinId="8"/>
    <cellStyle name="Normal" xfId="0" builtinId="0"/>
    <cellStyle name="Percen - Style2" xfId="5" xr:uid="{A055BC95-278A-4F04-A738-FFE257F1BA8F}"/>
    <cellStyle name="Percent" xfId="2" builtinId="5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microsoft.com/office/2017/06/relationships/rdRichValueTypes" Target="richData/rdRichValueType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371475</xdr:colOff>
      <xdr:row>47</xdr:row>
      <xdr:rowOff>66675</xdr:rowOff>
    </xdr:to>
    <xdr:pic>
      <xdr:nvPicPr>
        <xdr:cNvPr id="2" name="Picture 1" descr="Valueline Industry Report dated February 20, 2026 page 592. Details Pipeline Master Limited  Partnerships (MLPs) economical and financial environment and outlook.">
          <a:extLst>
            <a:ext uri="{FF2B5EF4-FFF2-40B4-BE49-F238E27FC236}">
              <a16:creationId xmlns:a16="http://schemas.microsoft.com/office/drawing/2014/main" id="{4517ADCB-F74D-A426-FC54-B1B7EF2EE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05875" cy="902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Team Kentucky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ichmondfed.org/research/national_economy/cfo_survey" TargetMode="External"/><Relationship Id="rId2" Type="http://schemas.openxmlformats.org/officeDocument/2006/relationships/hyperlink" Target="http://pages.stern.nyu.edu/~adamodar/New_Home_Page/datacurrent.html" TargetMode="External"/><Relationship Id="rId1" Type="http://schemas.openxmlformats.org/officeDocument/2006/relationships/hyperlink" Target="https://www.bvresources.com/products/faqs/cost-of-capital-professional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;https:/papers.ssrn.com/sol3/papers.cfm?abstract_id=5260463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bo.gov/system/files/2025-01/60870-Outlook-2025.pdf" TargetMode="External"/><Relationship Id="rId13" Type="http://schemas.openxmlformats.org/officeDocument/2006/relationships/hyperlink" Target="ehttps://pages.stern.nyu.edu/~adamodar/pc/blog/S&amp;P500ValueJan2025.xlsx" TargetMode="External"/><Relationship Id="rId3" Type="http://schemas.openxmlformats.org/officeDocument/2006/relationships/hyperlink" Target="https://www.philadelphiafed.org/surveys-and-data/real-time-data-research/survey-of-professional-forecasters" TargetMode="External"/><Relationship Id="rId7" Type="http://schemas.openxmlformats.org/officeDocument/2006/relationships/hyperlink" Target="https://www.cbo.gov/system/files/2026-01/60870-Outlook-2026.pdf" TargetMode="External"/><Relationship Id="rId12" Type="http://schemas.openxmlformats.org/officeDocument/2006/relationships/hyperlink" Target="http://pages.stern.nyu.edu/~adamodar/" TargetMode="External"/><Relationship Id="rId2" Type="http://schemas.openxmlformats.org/officeDocument/2006/relationships/hyperlink" Target="https://www.philadelphiafed.org/research-and-data/real-time-center/livingston-survey" TargetMode="External"/><Relationship Id="rId1" Type="http://schemas.openxmlformats.org/officeDocument/2006/relationships/hyperlink" Target="http://www.federalreserve.gov/Releases/H15/Current/" TargetMode="External"/><Relationship Id="rId6" Type="http://schemas.openxmlformats.org/officeDocument/2006/relationships/hyperlink" Target="https://www.federalreserve.gov/monetarypolicy/files/fomcprojtabl20241218.pd" TargetMode="External"/><Relationship Id="rId11" Type="http://schemas.openxmlformats.org/officeDocument/2006/relationships/hyperlink" Target="http://pages.stern.nyu.edu/~adamodar/New_Home_Page/valquestions/stablegrowthrate.htm" TargetMode="External"/><Relationship Id="rId5" Type="http://schemas.openxmlformats.org/officeDocument/2006/relationships/hyperlink" Target="http://www.worldbank.org/en/publication/global-economic-prospects" TargetMode="External"/><Relationship Id="rId15" Type="http://schemas.openxmlformats.org/officeDocument/2006/relationships/printerSettings" Target="../printerSettings/printerSettings14.bin"/><Relationship Id="rId10" Type="http://schemas.openxmlformats.org/officeDocument/2006/relationships/hyperlink" Target="https://www.cbo.gov/data/budget-economic-data" TargetMode="External"/><Relationship Id="rId4" Type="http://schemas.openxmlformats.org/officeDocument/2006/relationships/hyperlink" Target="https://tradingeconomics.com/united-states/full-year-gdp-growth" TargetMode="External"/><Relationship Id="rId9" Type="http://schemas.openxmlformats.org/officeDocument/2006/relationships/hyperlink" Target="https://www.cbo.gov/publication/60870" TargetMode="External"/><Relationship Id="rId14" Type="http://schemas.openxmlformats.org/officeDocument/2006/relationships/hyperlink" Target="&#141;https:/home.treasury.gov/resource-center/data-chart-center/interest-rates/TextView?type=daily_treasury_yield_curve&amp;field_tdr_date_value=2026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M37"/>
  <sheetViews>
    <sheetView tabSelected="1" view="pageBreakPreview" zoomScaleNormal="100" zoomScaleSheetLayoutView="100" workbookViewId="0">
      <selection activeCell="E9" sqref="E9"/>
    </sheetView>
  </sheetViews>
  <sheetFormatPr defaultRowHeight="15"/>
  <cols>
    <col min="5" max="5" width="12.28515625" customWidth="1"/>
    <col min="9" max="9" width="16.42578125" customWidth="1"/>
  </cols>
  <sheetData>
    <row r="1" spans="1:13" ht="18.75">
      <c r="A1" s="495" t="s">
        <v>0</v>
      </c>
      <c r="B1" s="496"/>
      <c r="C1" s="496"/>
      <c r="D1" s="496"/>
      <c r="E1" s="496"/>
      <c r="F1" s="496"/>
      <c r="G1" s="496"/>
      <c r="H1" s="496"/>
      <c r="I1" s="496"/>
    </row>
    <row r="5" spans="1:13" ht="27">
      <c r="E5" s="497" t="s">
        <v>0</v>
      </c>
      <c r="F5" s="498"/>
      <c r="G5" s="498"/>
      <c r="H5" s="498"/>
      <c r="I5" s="498"/>
      <c r="J5" s="498"/>
      <c r="K5" s="498"/>
      <c r="L5" s="498"/>
      <c r="M5" s="498"/>
    </row>
    <row r="7" spans="1:13" ht="27">
      <c r="A7" s="499" t="s">
        <v>30</v>
      </c>
      <c r="B7" s="500"/>
      <c r="C7" s="500"/>
      <c r="D7" s="500"/>
      <c r="E7" s="500"/>
      <c r="F7" s="500"/>
      <c r="G7" s="500"/>
      <c r="H7" s="500"/>
      <c r="I7" s="500"/>
    </row>
    <row r="8" spans="1:13" ht="27">
      <c r="A8" s="6"/>
      <c r="B8" s="7"/>
      <c r="C8" s="7"/>
      <c r="D8" s="7"/>
      <c r="E8" s="6" t="s">
        <v>0</v>
      </c>
      <c r="F8" s="7"/>
      <c r="G8" s="7"/>
      <c r="H8" s="7"/>
      <c r="I8" s="7"/>
      <c r="J8" s="7"/>
      <c r="K8" s="7"/>
      <c r="L8" s="7"/>
      <c r="M8" s="7"/>
    </row>
    <row r="9" spans="1:13" ht="27">
      <c r="B9" s="7"/>
      <c r="C9" s="7"/>
      <c r="D9" s="7"/>
      <c r="E9" s="6" t="s">
        <v>474</v>
      </c>
      <c r="F9" s="7"/>
      <c r="G9" s="7"/>
      <c r="H9" s="7"/>
      <c r="I9" s="7"/>
    </row>
    <row r="15" spans="1:13">
      <c r="A15" s="492" t="s">
        <v>0</v>
      </c>
      <c r="B15" s="493"/>
      <c r="C15" s="493"/>
      <c r="D15" s="493"/>
      <c r="E15" s="493"/>
      <c r="F15" s="493"/>
      <c r="G15" s="493"/>
      <c r="H15" s="493"/>
      <c r="I15" s="493"/>
    </row>
    <row r="16" spans="1:13" ht="33.75">
      <c r="A16" s="490" t="str">
        <f>+'S&amp;D'!A12</f>
        <v>Liquid Transportation Pipeline Carriers</v>
      </c>
      <c r="B16" s="491"/>
      <c r="C16" s="491"/>
      <c r="D16" s="491"/>
      <c r="E16" s="491"/>
      <c r="F16" s="491"/>
      <c r="G16" s="491"/>
      <c r="H16" s="491"/>
      <c r="I16" s="491"/>
    </row>
    <row r="17" spans="1:9">
      <c r="A17" s="492" t="s">
        <v>0</v>
      </c>
      <c r="B17" s="493"/>
      <c r="C17" s="493"/>
      <c r="D17" s="493"/>
      <c r="E17" s="493"/>
      <c r="F17" s="493"/>
      <c r="G17" s="493"/>
      <c r="H17" s="493"/>
      <c r="I17" s="493"/>
    </row>
    <row r="18" spans="1:9">
      <c r="A18" s="8"/>
      <c r="B18" s="9"/>
      <c r="C18" s="9"/>
      <c r="D18" s="9"/>
      <c r="E18" s="9"/>
      <c r="F18" s="9"/>
      <c r="G18" s="9"/>
      <c r="H18" s="9"/>
      <c r="I18" s="9"/>
    </row>
    <row r="19" spans="1:9">
      <c r="A19" s="8"/>
      <c r="B19" s="9"/>
      <c r="C19" s="9"/>
      <c r="D19" s="9"/>
      <c r="E19" s="9"/>
      <c r="F19" s="9"/>
      <c r="G19" s="9"/>
      <c r="H19" s="9"/>
      <c r="I19" s="9"/>
    </row>
    <row r="20" spans="1:9">
      <c r="A20" s="8"/>
      <c r="B20" s="9"/>
      <c r="C20" s="9"/>
      <c r="D20" s="9"/>
      <c r="E20" s="9"/>
      <c r="F20" s="9"/>
      <c r="G20" s="9"/>
      <c r="H20" s="9"/>
      <c r="I20" s="9"/>
    </row>
    <row r="21" spans="1:9">
      <c r="A21" s="8"/>
      <c r="B21" s="9"/>
      <c r="C21" s="9"/>
      <c r="D21" s="9"/>
      <c r="E21" s="9"/>
      <c r="F21" s="9"/>
      <c r="G21" s="9"/>
      <c r="H21" s="9"/>
      <c r="I21" s="9"/>
    </row>
    <row r="22" spans="1:9">
      <c r="A22" s="8"/>
      <c r="B22" s="9"/>
      <c r="C22" s="9"/>
      <c r="D22" s="9"/>
      <c r="E22" s="9"/>
      <c r="F22" s="9"/>
      <c r="G22" s="9"/>
      <c r="H22" s="9"/>
      <c r="I22" s="9"/>
    </row>
    <row r="23" spans="1:9">
      <c r="A23" s="8"/>
      <c r="B23" s="9"/>
      <c r="C23" s="9"/>
      <c r="D23" s="9"/>
      <c r="E23" s="9"/>
      <c r="F23" s="9"/>
      <c r="G23" s="9"/>
      <c r="H23" s="9"/>
      <c r="I23" s="9"/>
    </row>
    <row r="24" spans="1:9">
      <c r="A24" s="8"/>
      <c r="B24" s="9"/>
      <c r="C24" s="9"/>
      <c r="D24" s="9"/>
      <c r="E24" s="9"/>
      <c r="F24" s="9"/>
      <c r="G24" s="9"/>
      <c r="H24" s="9"/>
      <c r="I24" s="9"/>
    </row>
    <row r="25" spans="1:9">
      <c r="A25" s="8"/>
      <c r="B25" s="9"/>
      <c r="C25" s="9"/>
      <c r="D25" s="9"/>
      <c r="E25" s="9"/>
      <c r="F25" s="9"/>
      <c r="G25" s="9"/>
      <c r="H25" s="9"/>
      <c r="I25" s="9"/>
    </row>
    <row r="26" spans="1:9">
      <c r="A26" s="8"/>
      <c r="B26" s="9"/>
      <c r="C26" s="9"/>
      <c r="D26" s="9"/>
      <c r="E26" s="9"/>
      <c r="F26" s="9"/>
      <c r="G26" s="9"/>
      <c r="H26" s="9"/>
      <c r="I26" s="9"/>
    </row>
    <row r="27" spans="1:9">
      <c r="A27" s="8"/>
      <c r="B27" s="9"/>
      <c r="C27" s="9"/>
      <c r="D27" s="9"/>
      <c r="E27" s="9"/>
      <c r="F27" s="9"/>
      <c r="G27" s="9"/>
      <c r="H27" s="9"/>
      <c r="I27" s="9"/>
    </row>
    <row r="28" spans="1:9">
      <c r="A28" s="8"/>
      <c r="B28" s="9"/>
      <c r="C28" s="9"/>
      <c r="D28" s="9"/>
      <c r="E28" s="9"/>
      <c r="F28" s="9"/>
      <c r="G28" s="9"/>
      <c r="H28" s="9"/>
      <c r="I28" s="9"/>
    </row>
    <row r="29" spans="1:9">
      <c r="A29" s="492" t="s">
        <v>0</v>
      </c>
      <c r="B29" s="493"/>
      <c r="C29" s="493"/>
      <c r="D29" s="493"/>
      <c r="E29" s="493"/>
      <c r="F29" s="493"/>
      <c r="G29" s="493"/>
      <c r="H29" s="493"/>
      <c r="I29" s="493"/>
    </row>
    <row r="34" spans="1:9">
      <c r="A34" s="494" t="e" vm="1">
        <v>#VALUE!</v>
      </c>
      <c r="B34" s="494"/>
      <c r="C34" s="494"/>
      <c r="D34" s="494"/>
      <c r="E34" s="494"/>
      <c r="F34" s="494"/>
      <c r="G34" s="494"/>
      <c r="H34" s="494"/>
      <c r="I34" s="494"/>
    </row>
    <row r="35" spans="1:9">
      <c r="A35" s="494"/>
      <c r="B35" s="494"/>
      <c r="C35" s="494"/>
      <c r="D35" s="494"/>
      <c r="E35" s="494"/>
      <c r="F35" s="494"/>
      <c r="G35" s="494"/>
      <c r="H35" s="494"/>
      <c r="I35" s="494"/>
    </row>
    <row r="36" spans="1:9">
      <c r="A36" s="494"/>
      <c r="B36" s="494"/>
      <c r="C36" s="494"/>
      <c r="D36" s="494"/>
      <c r="E36" s="494"/>
      <c r="F36" s="494"/>
      <c r="G36" s="494"/>
      <c r="H36" s="494"/>
      <c r="I36" s="494"/>
    </row>
    <row r="37" spans="1:9">
      <c r="A37" s="494"/>
      <c r="B37" s="494"/>
      <c r="C37" s="494"/>
      <c r="D37" s="494"/>
      <c r="E37" s="494"/>
      <c r="F37" s="494"/>
      <c r="G37" s="494"/>
      <c r="H37" s="494"/>
      <c r="I37" s="494"/>
    </row>
  </sheetData>
  <mergeCells count="8">
    <mergeCell ref="A16:I16"/>
    <mergeCell ref="A17:I17"/>
    <mergeCell ref="A29:I29"/>
    <mergeCell ref="A34:I37"/>
    <mergeCell ref="A1:I1"/>
    <mergeCell ref="E5:M5"/>
    <mergeCell ref="A7:I7"/>
    <mergeCell ref="A15:I15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K31"/>
  <sheetViews>
    <sheetView view="pageBreakPreview" topLeftCell="A5" zoomScale="80" zoomScaleNormal="80" zoomScaleSheetLayoutView="80" workbookViewId="0">
      <selection activeCell="F24" sqref="F24"/>
    </sheetView>
  </sheetViews>
  <sheetFormatPr defaultRowHeight="15"/>
  <cols>
    <col min="1" max="1" width="22.28515625" customWidth="1"/>
    <col min="2" max="2" width="39.7109375" customWidth="1"/>
    <col min="3" max="3" width="16.85546875" customWidth="1"/>
    <col min="4" max="4" width="35.28515625" customWidth="1"/>
    <col min="5" max="5" width="18" customWidth="1"/>
    <col min="6" max="6" width="20.85546875" bestFit="1" customWidth="1"/>
    <col min="7" max="7" width="22" customWidth="1"/>
    <col min="8" max="8" width="23.7109375" customWidth="1"/>
  </cols>
  <sheetData>
    <row r="1" spans="1:11" ht="26.25">
      <c r="A1" s="23" t="s">
        <v>1</v>
      </c>
      <c r="C1" s="12"/>
      <c r="D1" s="12"/>
      <c r="E1" s="12"/>
      <c r="F1" s="12"/>
      <c r="G1" s="12"/>
      <c r="H1" s="12"/>
      <c r="I1" s="12"/>
      <c r="J1" s="12"/>
      <c r="K1" s="12"/>
    </row>
    <row r="2" spans="1:11" ht="17.25">
      <c r="A2" s="24" t="s">
        <v>9</v>
      </c>
      <c r="C2" s="12"/>
      <c r="D2" s="12"/>
      <c r="E2" s="12"/>
      <c r="F2" s="12"/>
      <c r="G2" s="12"/>
      <c r="H2" s="12"/>
      <c r="I2" s="12"/>
      <c r="J2" s="12"/>
      <c r="K2" s="12"/>
    </row>
    <row r="3" spans="1:11" ht="17.25" customHeight="1">
      <c r="A3" s="25" t="s">
        <v>475</v>
      </c>
      <c r="C3" s="12"/>
      <c r="D3" s="12"/>
      <c r="E3" s="12"/>
      <c r="F3" s="12"/>
      <c r="G3" s="12"/>
      <c r="H3" s="12"/>
      <c r="I3" s="12"/>
      <c r="J3" s="12"/>
      <c r="K3" s="12"/>
    </row>
    <row r="4" spans="1:11" ht="17.25" customHeight="1">
      <c r="B4" s="25"/>
      <c r="C4" s="12"/>
      <c r="D4" s="12"/>
      <c r="E4" s="12"/>
      <c r="F4" s="12"/>
      <c r="G4" s="12"/>
      <c r="H4" s="12"/>
      <c r="I4" s="12"/>
      <c r="J4" s="12"/>
      <c r="K4" s="12"/>
    </row>
    <row r="5" spans="1:11" ht="17.25" customHeight="1">
      <c r="B5" s="144"/>
      <c r="C5" s="12"/>
      <c r="D5" s="12"/>
      <c r="E5" s="12"/>
      <c r="F5" s="12"/>
      <c r="G5" s="12"/>
      <c r="H5" s="12"/>
      <c r="I5" s="12"/>
      <c r="J5" s="12"/>
      <c r="K5" s="12"/>
    </row>
    <row r="6" spans="1:11" ht="17.25" customHeight="1">
      <c r="B6" s="144"/>
      <c r="C6" s="12"/>
      <c r="D6" s="12"/>
      <c r="E6" s="12"/>
      <c r="F6" s="12"/>
      <c r="G6" s="12"/>
      <c r="H6" s="12"/>
      <c r="I6" s="12"/>
      <c r="J6" s="12"/>
      <c r="K6" s="12"/>
    </row>
    <row r="7" spans="1:11" ht="17.25" customHeight="1">
      <c r="B7" s="144"/>
      <c r="C7" s="12"/>
      <c r="D7" s="12"/>
      <c r="E7" s="12"/>
      <c r="F7" s="12"/>
      <c r="G7" s="12"/>
      <c r="H7" s="12"/>
      <c r="I7" s="12"/>
      <c r="J7" s="12"/>
      <c r="K7" s="12"/>
    </row>
    <row r="8" spans="1:11" ht="16.5">
      <c r="B8" s="25"/>
      <c r="C8" s="12"/>
      <c r="D8" s="12"/>
      <c r="E8" s="12"/>
      <c r="F8" s="12"/>
      <c r="G8" s="12"/>
      <c r="H8" s="12"/>
      <c r="I8" s="12"/>
      <c r="J8" s="12"/>
      <c r="K8" s="12"/>
    </row>
    <row r="9" spans="1:11" ht="20.25">
      <c r="B9" s="12"/>
      <c r="C9" s="12"/>
      <c r="D9" s="77" t="s">
        <v>0</v>
      </c>
      <c r="E9" s="12"/>
      <c r="F9" s="12"/>
      <c r="G9" s="12"/>
      <c r="H9" s="12"/>
      <c r="I9" s="12"/>
      <c r="J9" s="12"/>
      <c r="K9" s="12"/>
    </row>
    <row r="10" spans="1:11" ht="20.25">
      <c r="B10" s="12"/>
      <c r="C10" s="12"/>
      <c r="D10" s="77" t="s">
        <v>64</v>
      </c>
      <c r="E10" s="12"/>
      <c r="F10" s="12"/>
      <c r="G10" s="12"/>
      <c r="H10" s="12"/>
      <c r="I10" s="12"/>
      <c r="J10" s="12"/>
      <c r="K10" s="12"/>
    </row>
    <row r="11" spans="1:11" ht="16.5"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16.5"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ht="16.5">
      <c r="B13" s="12"/>
      <c r="C13" s="12"/>
      <c r="D13" s="12"/>
      <c r="E13" s="26"/>
      <c r="F13" s="12"/>
      <c r="G13" s="12"/>
      <c r="H13" s="12"/>
      <c r="I13" s="12"/>
      <c r="J13" s="12"/>
      <c r="K13" s="12"/>
    </row>
    <row r="14" spans="1:11" ht="16.5"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17.25" thickBot="1">
      <c r="B15" s="12"/>
      <c r="C15" s="28"/>
      <c r="D15" s="28"/>
      <c r="E15" s="28"/>
      <c r="F15" s="12"/>
      <c r="G15" s="12"/>
      <c r="H15" s="12"/>
      <c r="I15" s="12"/>
      <c r="J15" s="12"/>
      <c r="K15" s="12"/>
    </row>
    <row r="16" spans="1:11" ht="26.25">
      <c r="B16" s="12"/>
      <c r="C16" s="12"/>
      <c r="D16" s="30" t="str">
        <f>+'S&amp;D'!A12</f>
        <v>Liquid Transportation Pipeline Carriers</v>
      </c>
      <c r="E16" s="12"/>
      <c r="F16" s="12"/>
      <c r="G16" s="12"/>
      <c r="H16" s="12"/>
      <c r="I16" s="12"/>
      <c r="J16" s="12"/>
      <c r="K16" s="12"/>
    </row>
    <row r="17" spans="2:11" ht="17.25" thickBot="1">
      <c r="B17" s="12"/>
      <c r="C17" s="28"/>
      <c r="D17" s="35" t="s">
        <v>0</v>
      </c>
      <c r="E17" s="28"/>
      <c r="F17" s="12"/>
      <c r="G17" s="12"/>
      <c r="H17" s="12"/>
      <c r="I17" s="12"/>
      <c r="J17" s="12"/>
      <c r="K17" s="12"/>
    </row>
    <row r="18" spans="2:11" ht="17.25" thickBot="1">
      <c r="B18" s="28"/>
      <c r="C18" s="28"/>
      <c r="D18" s="35" t="s">
        <v>0</v>
      </c>
      <c r="E18" s="28"/>
      <c r="F18" s="28"/>
      <c r="G18" s="28"/>
      <c r="H18" s="12"/>
      <c r="I18" s="12"/>
      <c r="J18" s="12"/>
      <c r="K18" s="12"/>
    </row>
    <row r="19" spans="2:11" ht="16.5">
      <c r="B19" s="33" t="s">
        <v>31</v>
      </c>
      <c r="C19" s="33" t="s">
        <v>32</v>
      </c>
      <c r="D19" s="33" t="s">
        <v>33</v>
      </c>
      <c r="E19" s="33" t="s">
        <v>68</v>
      </c>
      <c r="F19" s="33" t="s">
        <v>33</v>
      </c>
      <c r="G19" s="33" t="s">
        <v>34</v>
      </c>
      <c r="H19" s="12"/>
      <c r="I19" s="12"/>
      <c r="J19" s="12"/>
      <c r="K19" s="12"/>
    </row>
    <row r="20" spans="2:11" ht="17.25" thickBot="1">
      <c r="B20" s="35" t="s">
        <v>32</v>
      </c>
      <c r="C20" s="35" t="s">
        <v>35</v>
      </c>
      <c r="D20" s="35" t="s">
        <v>36</v>
      </c>
      <c r="E20" s="35" t="s">
        <v>23</v>
      </c>
      <c r="F20" s="35" t="s">
        <v>37</v>
      </c>
      <c r="G20" s="35" t="s">
        <v>38</v>
      </c>
      <c r="H20" s="12"/>
      <c r="I20" s="12"/>
      <c r="J20" s="12"/>
      <c r="K20" s="12"/>
    </row>
    <row r="21" spans="2:11" ht="16.5">
      <c r="B21" s="37" t="s">
        <v>0</v>
      </c>
      <c r="C21" s="37" t="s">
        <v>0</v>
      </c>
      <c r="D21" s="37" t="s">
        <v>0</v>
      </c>
      <c r="E21" s="37" t="s">
        <v>0</v>
      </c>
      <c r="F21" s="37" t="s">
        <v>0</v>
      </c>
      <c r="G21" s="37" t="s">
        <v>0</v>
      </c>
      <c r="H21" s="12"/>
      <c r="I21" s="12"/>
      <c r="J21" s="12"/>
      <c r="K21" s="12"/>
    </row>
    <row r="22" spans="2:11" ht="16.5">
      <c r="B22" s="33"/>
      <c r="C22" s="33"/>
      <c r="D22" s="33"/>
      <c r="E22" s="33"/>
      <c r="F22" s="33"/>
      <c r="G22" s="33"/>
      <c r="H22" s="12"/>
      <c r="I22" s="12"/>
      <c r="J22" s="12"/>
      <c r="K22" s="12"/>
    </row>
    <row r="23" spans="2:11" ht="17.25">
      <c r="B23" s="89" t="s">
        <v>39</v>
      </c>
      <c r="C23" s="137">
        <f>'S&amp;D'!I49</f>
        <v>0.64</v>
      </c>
      <c r="D23" s="137">
        <f>+'Indicated Yield Equity Rate'!D51</f>
        <v>0.10630000000000001</v>
      </c>
      <c r="E23" s="103"/>
      <c r="F23" s="137">
        <f>+D23</f>
        <v>0.10630000000000001</v>
      </c>
      <c r="G23" s="138">
        <f>+F23*C23</f>
        <v>6.8032000000000009E-2</v>
      </c>
      <c r="H23" s="12"/>
      <c r="I23" s="12"/>
      <c r="J23" s="12"/>
      <c r="K23" s="12"/>
    </row>
    <row r="24" spans="2:11" ht="17.25">
      <c r="B24" s="89" t="s">
        <v>0</v>
      </c>
      <c r="C24" s="103" t="s">
        <v>0</v>
      </c>
      <c r="D24" s="103" t="s">
        <v>0</v>
      </c>
      <c r="E24" s="103"/>
      <c r="F24" s="501" t="s">
        <v>0</v>
      </c>
      <c r="G24" s="127" t="s">
        <v>0</v>
      </c>
      <c r="H24" s="12"/>
      <c r="I24" s="12"/>
      <c r="J24" s="12"/>
      <c r="K24" s="12"/>
    </row>
    <row r="25" spans="2:11" ht="17.25">
      <c r="B25" s="89" t="s">
        <v>41</v>
      </c>
      <c r="C25" s="137">
        <f>'S&amp;D'!J49</f>
        <v>0.36</v>
      </c>
      <c r="D25" s="137">
        <f>+Debt!J28</f>
        <v>5.8599999999999999E-2</v>
      </c>
      <c r="E25" s="137">
        <v>0.26</v>
      </c>
      <c r="F25" s="137">
        <f>+D25*(1-E25)</f>
        <v>4.3364E-2</v>
      </c>
      <c r="G25" s="138">
        <f>+C25*F25</f>
        <v>1.561104E-2</v>
      </c>
      <c r="H25" s="12"/>
      <c r="I25" s="12"/>
      <c r="J25" s="12"/>
      <c r="K25" s="12"/>
    </row>
    <row r="26" spans="2:11" ht="18" thickBot="1">
      <c r="B26" s="96" t="s">
        <v>0</v>
      </c>
      <c r="C26" s="96" t="s">
        <v>0</v>
      </c>
      <c r="D26" s="96" t="s">
        <v>0</v>
      </c>
      <c r="E26" s="96" t="s">
        <v>0</v>
      </c>
      <c r="F26" s="139" t="s">
        <v>0</v>
      </c>
      <c r="G26" s="140" t="s">
        <v>0</v>
      </c>
      <c r="H26" s="12"/>
      <c r="I26" s="12"/>
      <c r="J26" s="12"/>
      <c r="K26" s="12"/>
    </row>
    <row r="27" spans="2:11" ht="17.25">
      <c r="B27" s="89" t="s">
        <v>71</v>
      </c>
      <c r="C27" s="141">
        <f>+C23+C25</f>
        <v>1</v>
      </c>
      <c r="D27" s="89" t="s">
        <v>0</v>
      </c>
      <c r="E27" s="89" t="s">
        <v>0</v>
      </c>
      <c r="F27" s="142" t="s">
        <v>0</v>
      </c>
      <c r="G27" s="138">
        <f>+G23+G25</f>
        <v>8.3643040000000002E-2</v>
      </c>
      <c r="H27" s="12"/>
      <c r="I27" s="12"/>
      <c r="J27" s="12"/>
      <c r="K27" s="12"/>
    </row>
    <row r="28" spans="2:11" ht="18" thickBot="1">
      <c r="B28" s="60"/>
      <c r="C28" s="60"/>
      <c r="D28" s="60"/>
      <c r="E28" s="60"/>
      <c r="F28" s="60"/>
      <c r="G28" s="143"/>
      <c r="H28" s="12"/>
      <c r="I28" s="12"/>
      <c r="J28" s="12"/>
      <c r="K28" s="12"/>
    </row>
    <row r="29" spans="2:11" ht="18" thickBot="1">
      <c r="B29" s="12"/>
      <c r="C29" s="12"/>
      <c r="D29" s="12"/>
      <c r="E29" s="12"/>
      <c r="F29" s="189" t="s">
        <v>74</v>
      </c>
      <c r="G29" s="294">
        <v>8.3599999999999994E-2</v>
      </c>
      <c r="H29" s="12"/>
      <c r="I29" s="12"/>
      <c r="J29" s="12"/>
      <c r="K29" s="12"/>
    </row>
    <row r="30" spans="2:11" ht="16.5"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2:11" ht="16.5">
      <c r="B31" s="12"/>
      <c r="C31" s="12"/>
      <c r="D31" s="12"/>
      <c r="E31" s="12"/>
      <c r="F31" s="12"/>
      <c r="G31" s="12"/>
      <c r="H31" s="12"/>
      <c r="I31" s="12"/>
      <c r="J31" s="12"/>
      <c r="K31" s="12"/>
    </row>
  </sheetData>
  <pageMargins left="0.25" right="0.25" top="0.75" bottom="0.75" header="0.3" footer="0.3"/>
  <pageSetup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631F-B284-4F75-B05C-C409AB53D71E}">
  <sheetPr>
    <tabColor rgb="FF92D050"/>
    <pageSetUpPr fitToPage="1"/>
  </sheetPr>
  <dimension ref="A1:K64"/>
  <sheetViews>
    <sheetView view="pageBreakPreview" topLeftCell="A39" zoomScale="80" zoomScaleNormal="80" zoomScaleSheetLayoutView="80" workbookViewId="0">
      <selection activeCell="F57" activeCellId="1" sqref="F24 F57"/>
    </sheetView>
  </sheetViews>
  <sheetFormatPr defaultRowHeight="15"/>
  <cols>
    <col min="1" max="1" width="17.28515625" customWidth="1"/>
    <col min="2" max="2" width="31.7109375" customWidth="1"/>
    <col min="3" max="3" width="16.5703125" customWidth="1"/>
    <col min="4" max="4" width="35.28515625" customWidth="1"/>
    <col min="5" max="5" width="14.85546875" customWidth="1"/>
    <col min="6" max="6" width="25.85546875" customWidth="1"/>
    <col min="7" max="7" width="24.140625" customWidth="1"/>
    <col min="8" max="8" width="17.7109375" customWidth="1"/>
  </cols>
  <sheetData>
    <row r="1" spans="1:11" ht="26.25">
      <c r="A1" s="23" t="s">
        <v>1</v>
      </c>
      <c r="C1" s="12"/>
      <c r="D1" s="12"/>
      <c r="E1" s="12"/>
      <c r="F1" s="12"/>
      <c r="G1" s="12"/>
      <c r="H1" s="12"/>
      <c r="I1" s="12"/>
      <c r="J1" s="12"/>
      <c r="K1" s="12"/>
    </row>
    <row r="2" spans="1:11" ht="17.25">
      <c r="A2" s="24" t="s">
        <v>9</v>
      </c>
      <c r="C2" s="12"/>
      <c r="D2" s="12"/>
      <c r="E2" s="12"/>
      <c r="F2" s="12"/>
      <c r="G2" s="12"/>
      <c r="H2" s="12"/>
      <c r="I2" s="12"/>
      <c r="J2" s="12"/>
      <c r="K2" s="12"/>
    </row>
    <row r="3" spans="1:11" ht="16.5">
      <c r="A3" s="25" t="s">
        <v>475</v>
      </c>
      <c r="C3" s="12"/>
      <c r="D3" s="12"/>
      <c r="E3" s="12"/>
      <c r="F3" s="12"/>
      <c r="G3" s="12"/>
      <c r="H3" s="12"/>
      <c r="I3" s="12"/>
      <c r="J3" s="12"/>
      <c r="K3" s="12"/>
    </row>
    <row r="4" spans="1:11" ht="16.5">
      <c r="B4" s="25"/>
      <c r="C4" s="12"/>
      <c r="D4" s="12"/>
      <c r="E4" s="12"/>
      <c r="F4" s="12"/>
      <c r="G4" s="12"/>
      <c r="H4" s="12"/>
      <c r="I4" s="12"/>
      <c r="J4" s="12"/>
      <c r="K4" s="12"/>
    </row>
    <row r="5" spans="1:11" ht="16.5">
      <c r="B5" s="25"/>
      <c r="C5" s="12"/>
      <c r="D5" s="12"/>
      <c r="E5" s="12"/>
      <c r="F5" s="12"/>
      <c r="G5" s="12"/>
      <c r="H5" s="12"/>
      <c r="I5" s="12"/>
      <c r="J5" s="12"/>
      <c r="K5" s="12"/>
    </row>
    <row r="6" spans="1:11" ht="16.5">
      <c r="B6" s="25"/>
      <c r="C6" s="12"/>
      <c r="D6" s="12"/>
      <c r="E6" s="12"/>
      <c r="F6" s="12"/>
      <c r="G6" s="12"/>
      <c r="H6" s="12"/>
      <c r="I6" s="12"/>
      <c r="J6" s="12"/>
      <c r="K6" s="12"/>
    </row>
    <row r="7" spans="1:11" ht="16.5">
      <c r="B7" s="25"/>
      <c r="C7" s="12"/>
      <c r="D7" s="12"/>
      <c r="E7" s="12"/>
      <c r="F7" s="12"/>
      <c r="G7" s="12"/>
      <c r="H7" s="12"/>
      <c r="I7" s="12"/>
      <c r="J7" s="12"/>
      <c r="K7" s="12"/>
    </row>
    <row r="8" spans="1:11" ht="16.5">
      <c r="B8" s="25"/>
      <c r="C8" s="12"/>
      <c r="D8" s="12"/>
      <c r="E8" s="12"/>
      <c r="F8" s="12"/>
      <c r="G8" s="12"/>
      <c r="H8" s="12"/>
      <c r="I8" s="12"/>
      <c r="J8" s="12"/>
      <c r="K8" s="12"/>
    </row>
    <row r="9" spans="1:11" ht="16.5">
      <c r="B9" s="25"/>
      <c r="C9" s="12"/>
      <c r="D9" s="12"/>
      <c r="E9" s="12"/>
      <c r="F9" s="12"/>
      <c r="G9" s="12"/>
      <c r="H9" s="12"/>
      <c r="I9" s="12"/>
      <c r="J9" s="12"/>
      <c r="K9" s="12"/>
    </row>
    <row r="10" spans="1:11" ht="20.25">
      <c r="B10" s="12"/>
      <c r="C10" s="12"/>
      <c r="D10" s="77" t="s">
        <v>0</v>
      </c>
      <c r="E10" s="12"/>
      <c r="F10" s="12"/>
      <c r="G10" s="12"/>
      <c r="H10" s="12"/>
      <c r="I10" s="12"/>
      <c r="J10" s="12"/>
      <c r="K10" s="12"/>
    </row>
    <row r="11" spans="1:11" ht="20.25">
      <c r="B11" s="12"/>
      <c r="C11" s="12"/>
      <c r="D11" s="77" t="s">
        <v>63</v>
      </c>
      <c r="E11" s="12"/>
      <c r="F11" s="12"/>
      <c r="G11" s="12"/>
      <c r="H11" s="12"/>
      <c r="I11" s="12"/>
      <c r="J11" s="12"/>
      <c r="K11" s="12"/>
    </row>
    <row r="12" spans="1:11" ht="16.5"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ht="16.5"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17.25" thickBot="1">
      <c r="B14" s="12"/>
      <c r="C14" s="28"/>
      <c r="D14" s="28"/>
      <c r="E14" s="28"/>
      <c r="F14" s="12"/>
      <c r="G14" s="12"/>
      <c r="H14" s="12"/>
      <c r="I14" s="12"/>
      <c r="J14" s="12"/>
      <c r="K14" s="12"/>
    </row>
    <row r="15" spans="1:11" ht="26.25">
      <c r="B15" s="12"/>
      <c r="C15" s="12"/>
      <c r="D15" s="30" t="str">
        <f>+'S&amp;D'!A12</f>
        <v>Liquid Transportation Pipeline Carriers</v>
      </c>
      <c r="E15" s="12"/>
      <c r="F15" s="12"/>
      <c r="G15" s="12"/>
      <c r="H15" s="12"/>
      <c r="I15" s="12"/>
      <c r="J15" s="12"/>
      <c r="K15" s="12"/>
    </row>
    <row r="16" spans="1:11" ht="21" thickBot="1">
      <c r="B16" s="12"/>
      <c r="C16" s="28"/>
      <c r="D16" s="136" t="s">
        <v>70</v>
      </c>
      <c r="E16" s="28"/>
      <c r="F16" s="12"/>
      <c r="G16" s="12"/>
      <c r="H16" s="12"/>
      <c r="I16" s="12"/>
      <c r="J16" s="12"/>
      <c r="K16" s="12"/>
    </row>
    <row r="17" spans="2:11" ht="16.5">
      <c r="H17" s="12"/>
      <c r="I17" s="12"/>
      <c r="J17" s="12"/>
      <c r="K17" s="12"/>
    </row>
    <row r="18" spans="2:11" ht="17.25" thickBot="1">
      <c r="B18" s="28"/>
      <c r="C18" s="28"/>
      <c r="D18" s="35" t="s">
        <v>0</v>
      </c>
      <c r="E18" s="28"/>
      <c r="F18" s="28"/>
      <c r="G18" s="28"/>
      <c r="H18" s="12"/>
      <c r="I18" s="12"/>
      <c r="J18" s="12"/>
      <c r="K18" s="12"/>
    </row>
    <row r="19" spans="2:11" ht="16.5">
      <c r="B19" s="33" t="s">
        <v>31</v>
      </c>
      <c r="C19" s="33" t="s">
        <v>32</v>
      </c>
      <c r="D19" s="33" t="s">
        <v>67</v>
      </c>
      <c r="E19" s="33" t="s">
        <v>68</v>
      </c>
      <c r="F19" s="33" t="s">
        <v>66</v>
      </c>
      <c r="G19" s="33" t="s">
        <v>34</v>
      </c>
      <c r="H19" s="12"/>
      <c r="I19" s="12"/>
      <c r="J19" s="12"/>
      <c r="K19" s="12"/>
    </row>
    <row r="20" spans="2:11" ht="17.25" thickBot="1">
      <c r="B20" s="35" t="s">
        <v>32</v>
      </c>
      <c r="C20" s="35" t="s">
        <v>35</v>
      </c>
      <c r="D20" s="35" t="s">
        <v>36</v>
      </c>
      <c r="E20" s="35" t="s">
        <v>23</v>
      </c>
      <c r="F20" s="35" t="s">
        <v>37</v>
      </c>
      <c r="G20" s="35" t="s">
        <v>69</v>
      </c>
      <c r="H20" s="12"/>
      <c r="I20" s="12"/>
      <c r="J20" s="12"/>
      <c r="K20" s="12"/>
    </row>
    <row r="21" spans="2:11" ht="16.5">
      <c r="B21" s="37" t="s">
        <v>0</v>
      </c>
      <c r="C21" s="37" t="s">
        <v>0</v>
      </c>
      <c r="D21" s="37" t="s">
        <v>0</v>
      </c>
      <c r="E21" s="37" t="s">
        <v>0</v>
      </c>
      <c r="F21" s="37" t="s">
        <v>0</v>
      </c>
      <c r="G21" s="37" t="s">
        <v>0</v>
      </c>
      <c r="H21" s="12"/>
      <c r="I21" s="12"/>
      <c r="J21" s="12"/>
      <c r="K21" s="12"/>
    </row>
    <row r="22" spans="2:11" ht="16.5">
      <c r="B22" s="33"/>
      <c r="C22" s="33"/>
      <c r="D22" s="33"/>
      <c r="E22" s="33"/>
      <c r="F22" s="33"/>
      <c r="G22" s="33"/>
      <c r="H22" s="12"/>
      <c r="I22" s="12"/>
      <c r="J22" s="12"/>
      <c r="K22" s="12"/>
    </row>
    <row r="23" spans="2:11" ht="17.25">
      <c r="B23" s="89" t="s">
        <v>39</v>
      </c>
      <c r="C23" s="137">
        <f>'S&amp;D'!I49</f>
        <v>0.64</v>
      </c>
      <c r="D23" s="137">
        <f>+'Direct NOPAT'!J32</f>
        <v>9.2299999999999993E-2</v>
      </c>
      <c r="E23" s="103" t="s">
        <v>40</v>
      </c>
      <c r="F23" s="137">
        <f>+D23</f>
        <v>9.2299999999999993E-2</v>
      </c>
      <c r="G23" s="138">
        <f>+F23*C23</f>
        <v>5.9072E-2</v>
      </c>
      <c r="H23" s="12"/>
      <c r="I23" s="12"/>
      <c r="J23" s="12"/>
      <c r="K23" s="12"/>
    </row>
    <row r="24" spans="2:11" ht="17.25">
      <c r="B24" s="89" t="s">
        <v>0</v>
      </c>
      <c r="C24" s="103" t="s">
        <v>0</v>
      </c>
      <c r="D24" s="103" t="s">
        <v>0</v>
      </c>
      <c r="E24" s="103" t="s">
        <v>0</v>
      </c>
      <c r="F24" s="501" t="s">
        <v>0</v>
      </c>
      <c r="G24" s="127" t="s">
        <v>0</v>
      </c>
      <c r="H24" s="12"/>
      <c r="I24" s="12"/>
      <c r="J24" s="12"/>
      <c r="K24" s="12"/>
    </row>
    <row r="25" spans="2:11" ht="17.25">
      <c r="B25" s="89" t="s">
        <v>41</v>
      </c>
      <c r="C25" s="137">
        <f>'S&amp;D'!J49</f>
        <v>0.36</v>
      </c>
      <c r="D25" s="137">
        <f>+Debt!J28</f>
        <v>5.8599999999999999E-2</v>
      </c>
      <c r="E25" s="137">
        <v>0.26</v>
      </c>
      <c r="F25" s="137">
        <f>+D25*(1-E25)</f>
        <v>4.3364E-2</v>
      </c>
      <c r="G25" s="138">
        <f>+C25*F25</f>
        <v>1.561104E-2</v>
      </c>
      <c r="H25" s="12"/>
      <c r="I25" s="12"/>
      <c r="J25" s="12"/>
      <c r="K25" s="12"/>
    </row>
    <row r="26" spans="2:11" ht="18" thickBot="1">
      <c r="B26" s="96" t="s">
        <v>0</v>
      </c>
      <c r="C26" s="96" t="s">
        <v>0</v>
      </c>
      <c r="D26" s="96" t="s">
        <v>0</v>
      </c>
      <c r="E26" s="96" t="s">
        <v>0</v>
      </c>
      <c r="F26" s="139" t="s">
        <v>0</v>
      </c>
      <c r="G26" s="140" t="s">
        <v>0</v>
      </c>
      <c r="H26" s="12"/>
      <c r="I26" s="12"/>
      <c r="J26" s="12"/>
      <c r="K26" s="12"/>
    </row>
    <row r="27" spans="2:11" ht="17.25">
      <c r="B27" s="89" t="s">
        <v>42</v>
      </c>
      <c r="C27" s="141">
        <f>+C23+C25</f>
        <v>1</v>
      </c>
      <c r="D27" s="89" t="s">
        <v>0</v>
      </c>
      <c r="E27" s="89" t="s">
        <v>0</v>
      </c>
      <c r="F27" s="142" t="s">
        <v>0</v>
      </c>
      <c r="G27" s="138">
        <f>+G23+G25</f>
        <v>7.4683040000000006E-2</v>
      </c>
      <c r="H27" s="12"/>
      <c r="I27" s="12"/>
      <c r="J27" s="12"/>
      <c r="K27" s="12"/>
    </row>
    <row r="28" spans="2:11" ht="18" thickBot="1">
      <c r="B28" s="60"/>
      <c r="C28" s="60"/>
      <c r="D28" s="60"/>
      <c r="E28" s="60"/>
      <c r="F28" s="60"/>
      <c r="G28" s="143"/>
      <c r="H28" s="12"/>
      <c r="I28" s="12"/>
      <c r="J28" s="12"/>
      <c r="K28" s="12"/>
    </row>
    <row r="29" spans="2:11" ht="18" thickBot="1">
      <c r="B29" s="12"/>
      <c r="C29" s="12"/>
      <c r="D29" s="12"/>
      <c r="E29" s="12"/>
      <c r="F29" s="189" t="s">
        <v>74</v>
      </c>
      <c r="G29" s="294">
        <v>7.4700000000000003E-2</v>
      </c>
      <c r="H29" s="12"/>
      <c r="I29" s="12"/>
      <c r="J29" s="12"/>
      <c r="K29" s="12"/>
    </row>
    <row r="30" spans="2:11" ht="18" thickBot="1">
      <c r="B30" s="12"/>
      <c r="C30" s="12"/>
      <c r="D30" s="12"/>
      <c r="E30" s="12"/>
      <c r="F30" s="142"/>
      <c r="G30" s="138"/>
      <c r="H30" s="12"/>
      <c r="I30" s="12"/>
      <c r="J30" s="12"/>
      <c r="K30" s="12"/>
    </row>
    <row r="31" spans="2:11" ht="18" thickBot="1">
      <c r="B31" s="12"/>
      <c r="C31" s="12"/>
      <c r="D31" s="12"/>
      <c r="E31" s="12"/>
      <c r="F31" s="189" t="s">
        <v>219</v>
      </c>
      <c r="G31" s="221">
        <f>1/G29</f>
        <v>13.386880856760374</v>
      </c>
      <c r="H31" s="12"/>
      <c r="I31" s="12"/>
      <c r="J31" s="12"/>
      <c r="K31" s="12"/>
    </row>
    <row r="32" spans="2:11" ht="17.25">
      <c r="B32" s="12"/>
      <c r="C32" s="12"/>
      <c r="D32" s="12"/>
      <c r="E32" s="12"/>
      <c r="F32" s="142"/>
      <c r="G32" s="138"/>
      <c r="H32" s="12"/>
      <c r="I32" s="12"/>
      <c r="J32" s="12"/>
      <c r="K32" s="12"/>
    </row>
    <row r="33" spans="1:11" ht="17.25">
      <c r="B33" s="12"/>
      <c r="C33" s="12"/>
      <c r="D33" s="12"/>
      <c r="E33" s="12"/>
      <c r="F33" s="142"/>
      <c r="G33" s="138"/>
      <c r="H33" s="12"/>
      <c r="I33" s="12"/>
      <c r="J33" s="12"/>
      <c r="K33" s="12"/>
    </row>
    <row r="34" spans="1:11" ht="26.25">
      <c r="A34" s="23" t="s">
        <v>1</v>
      </c>
      <c r="C34" s="12"/>
      <c r="D34" s="12"/>
      <c r="E34" s="12"/>
      <c r="F34" s="142"/>
      <c r="G34" s="138"/>
      <c r="H34" s="12"/>
      <c r="I34" s="12"/>
      <c r="J34" s="12"/>
      <c r="K34" s="12"/>
    </row>
    <row r="35" spans="1:11" ht="17.25">
      <c r="A35" s="24" t="s">
        <v>9</v>
      </c>
      <c r="C35" s="12"/>
      <c r="D35" s="12"/>
      <c r="E35" s="12"/>
      <c r="F35" s="142"/>
      <c r="G35" s="138"/>
      <c r="H35" s="12"/>
      <c r="I35" s="12"/>
      <c r="J35" s="12"/>
      <c r="K35" s="12"/>
    </row>
    <row r="36" spans="1:11" ht="17.25">
      <c r="A36" s="25" t="s">
        <v>475</v>
      </c>
      <c r="C36" s="12"/>
      <c r="D36" s="12"/>
      <c r="E36" s="12"/>
      <c r="F36" s="142"/>
      <c r="G36" s="138"/>
      <c r="H36" s="12"/>
      <c r="I36" s="12"/>
      <c r="J36" s="12"/>
      <c r="K36" s="12"/>
    </row>
    <row r="37" spans="1:11" ht="17.25">
      <c r="A37" s="25"/>
      <c r="C37" s="12"/>
      <c r="D37" s="12"/>
      <c r="E37" s="12"/>
      <c r="F37" s="142"/>
      <c r="G37" s="138"/>
      <c r="H37" s="12"/>
      <c r="I37" s="12"/>
      <c r="J37" s="12"/>
      <c r="K37" s="12"/>
    </row>
    <row r="38" spans="1:11" ht="17.25">
      <c r="A38" s="25"/>
      <c r="C38" s="12"/>
      <c r="D38" s="12"/>
      <c r="E38" s="12"/>
      <c r="F38" s="142"/>
      <c r="G38" s="138"/>
      <c r="H38" s="12"/>
      <c r="I38" s="12"/>
      <c r="J38" s="12"/>
      <c r="K38" s="12"/>
    </row>
    <row r="39" spans="1:11" ht="17.25">
      <c r="A39" s="25"/>
      <c r="C39" s="12"/>
      <c r="D39" s="12"/>
      <c r="E39" s="12"/>
      <c r="F39" s="142"/>
      <c r="G39" s="138"/>
      <c r="H39" s="12"/>
      <c r="I39" s="12"/>
      <c r="J39" s="12"/>
      <c r="K39" s="12"/>
    </row>
    <row r="40" spans="1:11" ht="17.25">
      <c r="A40" s="25"/>
      <c r="C40" s="12"/>
      <c r="D40" s="12"/>
      <c r="E40" s="12"/>
      <c r="F40" s="142"/>
      <c r="G40" s="138"/>
      <c r="H40" s="12"/>
      <c r="I40" s="12"/>
      <c r="J40" s="12"/>
      <c r="K40" s="12"/>
    </row>
    <row r="41" spans="1:11" ht="17.25">
      <c r="A41" s="25"/>
      <c r="C41" s="12"/>
      <c r="D41" s="12"/>
      <c r="E41" s="12"/>
      <c r="F41" s="142"/>
      <c r="G41" s="138"/>
      <c r="H41" s="12"/>
      <c r="I41" s="12"/>
      <c r="J41" s="12"/>
      <c r="K41" s="12"/>
    </row>
    <row r="42" spans="1:11" ht="17.25">
      <c r="A42" s="25"/>
      <c r="C42" s="12"/>
      <c r="D42" s="12"/>
      <c r="E42" s="12"/>
      <c r="F42" s="142"/>
      <c r="G42" s="138"/>
      <c r="H42" s="12"/>
      <c r="I42" s="12"/>
      <c r="J42" s="12"/>
      <c r="K42" s="12"/>
    </row>
    <row r="43" spans="1:11" ht="17.25">
      <c r="A43" s="25"/>
      <c r="C43" s="12"/>
      <c r="D43" s="12"/>
      <c r="E43" s="12"/>
      <c r="F43" s="142"/>
      <c r="G43" s="138"/>
      <c r="H43" s="12"/>
      <c r="I43" s="12"/>
      <c r="J43" s="12"/>
      <c r="K43" s="12"/>
    </row>
    <row r="44" spans="1:11" ht="20.25">
      <c r="A44" s="25"/>
      <c r="C44" s="12"/>
      <c r="D44" s="77" t="s">
        <v>63</v>
      </c>
      <c r="E44" s="12"/>
      <c r="F44" s="142"/>
      <c r="G44" s="138"/>
      <c r="H44" s="12"/>
      <c r="I44" s="12"/>
      <c r="J44" s="12"/>
      <c r="K44" s="12"/>
    </row>
    <row r="45" spans="1:11" ht="20.25">
      <c r="A45" s="25"/>
      <c r="C45" s="12"/>
      <c r="D45" s="77"/>
      <c r="E45" s="12"/>
      <c r="F45" s="142"/>
      <c r="G45" s="138"/>
      <c r="H45" s="12"/>
      <c r="I45" s="12"/>
      <c r="J45" s="12"/>
      <c r="K45" s="12"/>
    </row>
    <row r="46" spans="1:11" ht="20.25">
      <c r="A46" s="25"/>
      <c r="C46" s="12"/>
      <c r="D46" s="77"/>
      <c r="E46" s="12"/>
      <c r="F46" s="142"/>
      <c r="G46" s="138"/>
      <c r="H46" s="12"/>
      <c r="I46" s="12"/>
      <c r="J46" s="12"/>
      <c r="K46" s="12"/>
    </row>
    <row r="47" spans="1:11" ht="17.25" thickBot="1">
      <c r="B47" s="12"/>
      <c r="C47" s="28"/>
      <c r="D47" s="28"/>
      <c r="E47" s="28"/>
      <c r="F47" s="12"/>
      <c r="G47" s="12"/>
      <c r="H47" s="12"/>
      <c r="I47" s="12"/>
      <c r="J47" s="12"/>
      <c r="K47" s="12"/>
    </row>
    <row r="48" spans="1:11" ht="26.25">
      <c r="B48" s="12"/>
      <c r="C48" s="12"/>
      <c r="D48" s="30" t="str">
        <f>+D15</f>
        <v>Liquid Transportation Pipeline Carriers</v>
      </c>
      <c r="E48" s="12"/>
      <c r="F48" s="12"/>
      <c r="G48" s="12"/>
      <c r="H48" s="12"/>
      <c r="I48" s="12"/>
      <c r="J48" s="12"/>
      <c r="K48" s="12"/>
    </row>
    <row r="49" spans="2:11" ht="21" thickBot="1">
      <c r="B49" s="12"/>
      <c r="C49" s="28"/>
      <c r="D49" s="136" t="s">
        <v>65</v>
      </c>
      <c r="E49" s="28"/>
      <c r="F49" s="12"/>
      <c r="G49" s="12"/>
      <c r="H49" s="12"/>
      <c r="I49" s="12"/>
      <c r="J49" s="12"/>
      <c r="K49" s="12"/>
    </row>
    <row r="50" spans="2:11" ht="16.5"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2:11" ht="17.25" thickBot="1">
      <c r="B51" s="28"/>
      <c r="C51" s="28"/>
      <c r="D51" s="35" t="s">
        <v>0</v>
      </c>
      <c r="E51" s="28"/>
      <c r="F51" s="28"/>
      <c r="G51" s="28"/>
      <c r="H51" s="12"/>
      <c r="I51" s="12"/>
      <c r="J51" s="12"/>
      <c r="K51" s="12"/>
    </row>
    <row r="52" spans="2:11" ht="16.5">
      <c r="B52" s="33" t="s">
        <v>31</v>
      </c>
      <c r="C52" s="33" t="s">
        <v>32</v>
      </c>
      <c r="D52" s="33" t="s">
        <v>67</v>
      </c>
      <c r="E52" s="33" t="s">
        <v>68</v>
      </c>
      <c r="F52" s="33" t="s">
        <v>66</v>
      </c>
      <c r="G52" s="33" t="s">
        <v>34</v>
      </c>
      <c r="H52" s="12"/>
      <c r="I52" s="12"/>
      <c r="J52" s="12"/>
      <c r="K52" s="12"/>
    </row>
    <row r="53" spans="2:11" ht="17.25" thickBot="1">
      <c r="B53" s="35" t="s">
        <v>32</v>
      </c>
      <c r="C53" s="35" t="s">
        <v>35</v>
      </c>
      <c r="D53" s="35" t="s">
        <v>36</v>
      </c>
      <c r="E53" s="35" t="s">
        <v>23</v>
      </c>
      <c r="F53" s="35" t="s">
        <v>37</v>
      </c>
      <c r="G53" s="35" t="s">
        <v>69</v>
      </c>
      <c r="H53" s="12"/>
      <c r="I53" s="12"/>
      <c r="J53" s="12"/>
      <c r="K53" s="12"/>
    </row>
    <row r="54" spans="2:11" ht="16.5">
      <c r="B54" s="37" t="s">
        <v>0</v>
      </c>
      <c r="C54" s="37" t="s">
        <v>0</v>
      </c>
      <c r="D54" s="37" t="s">
        <v>0</v>
      </c>
      <c r="E54" s="37" t="s">
        <v>0</v>
      </c>
      <c r="F54" s="37" t="s">
        <v>0</v>
      </c>
      <c r="G54" s="37" t="s">
        <v>0</v>
      </c>
      <c r="H54" s="12"/>
      <c r="I54" s="12"/>
      <c r="J54" s="12"/>
      <c r="K54" s="12"/>
    </row>
    <row r="55" spans="2:11" ht="16.5">
      <c r="B55" s="33"/>
      <c r="C55" s="33"/>
      <c r="D55" s="33"/>
      <c r="E55" s="33"/>
      <c r="F55" s="33"/>
      <c r="G55" s="33"/>
      <c r="H55" s="12"/>
      <c r="I55" s="12"/>
      <c r="J55" s="12"/>
      <c r="K55" s="12"/>
    </row>
    <row r="56" spans="2:11" ht="17.25">
      <c r="B56" s="89" t="s">
        <v>39</v>
      </c>
      <c r="C56" s="137">
        <f>'S&amp;D'!I49</f>
        <v>0.64</v>
      </c>
      <c r="D56" s="137">
        <f>+'Direct GCF'!H31</f>
        <v>0.15434999999999999</v>
      </c>
      <c r="E56" s="103"/>
      <c r="F56" s="137">
        <f>+D56</f>
        <v>0.15434999999999999</v>
      </c>
      <c r="G56" s="138">
        <f>+F56*C56</f>
        <v>9.8783999999999997E-2</v>
      </c>
      <c r="H56" s="12"/>
      <c r="I56" s="12"/>
      <c r="J56" s="12"/>
      <c r="K56" s="12"/>
    </row>
    <row r="57" spans="2:11" ht="17.25">
      <c r="B57" s="89" t="s">
        <v>0</v>
      </c>
      <c r="C57" s="103" t="s">
        <v>0</v>
      </c>
      <c r="D57" s="103" t="s">
        <v>0</v>
      </c>
      <c r="E57" s="103"/>
      <c r="F57" s="501" t="s">
        <v>0</v>
      </c>
      <c r="G57" s="127" t="s">
        <v>0</v>
      </c>
      <c r="H57" s="12"/>
      <c r="I57" s="12"/>
      <c r="J57" s="12"/>
      <c r="K57" s="12"/>
    </row>
    <row r="58" spans="2:11" ht="17.25">
      <c r="B58" s="89" t="s">
        <v>41</v>
      </c>
      <c r="C58" s="137">
        <f>'S&amp;D'!J49</f>
        <v>0.36</v>
      </c>
      <c r="D58" s="137">
        <f>+Debt!J28</f>
        <v>5.8599999999999999E-2</v>
      </c>
      <c r="E58" s="137">
        <v>0.26</v>
      </c>
      <c r="F58" s="137">
        <f>+D58*(1-E58)</f>
        <v>4.3364E-2</v>
      </c>
      <c r="G58" s="138">
        <f>+C58*F58</f>
        <v>1.561104E-2</v>
      </c>
      <c r="H58" s="12"/>
      <c r="I58" s="12"/>
      <c r="J58" s="12"/>
      <c r="K58" s="12"/>
    </row>
    <row r="59" spans="2:11" ht="18" thickBot="1">
      <c r="B59" s="96" t="s">
        <v>0</v>
      </c>
      <c r="C59" s="96" t="s">
        <v>0</v>
      </c>
      <c r="D59" s="96" t="s">
        <v>0</v>
      </c>
      <c r="E59" s="96" t="s">
        <v>0</v>
      </c>
      <c r="F59" s="139" t="s">
        <v>0</v>
      </c>
      <c r="G59" s="140" t="s">
        <v>0</v>
      </c>
      <c r="H59" s="12"/>
      <c r="I59" s="12"/>
      <c r="J59" s="12"/>
      <c r="K59" s="12"/>
    </row>
    <row r="60" spans="2:11" ht="17.25">
      <c r="B60" s="89" t="s">
        <v>42</v>
      </c>
      <c r="C60" s="141">
        <f>+C56+C58</f>
        <v>1</v>
      </c>
      <c r="D60" s="89" t="s">
        <v>0</v>
      </c>
      <c r="E60" s="89" t="s">
        <v>0</v>
      </c>
      <c r="F60" s="142" t="s">
        <v>0</v>
      </c>
      <c r="G60" s="138">
        <f>+G56+G58</f>
        <v>0.11439504</v>
      </c>
      <c r="H60" s="12"/>
      <c r="I60" s="12"/>
      <c r="J60" s="12"/>
      <c r="K60" s="12"/>
    </row>
    <row r="61" spans="2:11" ht="18" thickBot="1">
      <c r="B61" s="60"/>
      <c r="C61" s="60"/>
      <c r="D61" s="60"/>
      <c r="E61" s="60"/>
      <c r="F61" s="60"/>
      <c r="G61" s="143"/>
      <c r="H61" s="12"/>
      <c r="I61" s="12"/>
      <c r="J61" s="12"/>
      <c r="K61" s="12"/>
    </row>
    <row r="62" spans="2:11" ht="18" thickBot="1">
      <c r="B62" s="12"/>
      <c r="C62" s="12"/>
      <c r="D62" s="12"/>
      <c r="E62" s="12"/>
      <c r="F62" s="189" t="s">
        <v>74</v>
      </c>
      <c r="G62" s="294">
        <v>0.1144</v>
      </c>
      <c r="H62" s="12"/>
      <c r="I62" s="12"/>
      <c r="J62" s="12"/>
      <c r="K62" s="12"/>
    </row>
    <row r="63" spans="2:11" ht="15.75" thickBot="1"/>
    <row r="64" spans="2:11" ht="18" thickBot="1">
      <c r="F64" s="189" t="s">
        <v>219</v>
      </c>
      <c r="G64" s="221">
        <f>1/G62</f>
        <v>8.7412587412587417</v>
      </c>
    </row>
  </sheetData>
  <pageMargins left="0.25" right="0.25" top="0.75" bottom="0.75" header="0.3" footer="0.3"/>
  <pageSetup scale="72" fitToHeight="0" orientation="landscape" r:id="rId1"/>
  <rowBreaks count="1" manualBreakCount="1">
    <brk id="33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M89"/>
  <sheetViews>
    <sheetView view="pageBreakPreview" zoomScale="70" zoomScaleNormal="80" zoomScaleSheetLayoutView="70" zoomScalePageLayoutView="70" workbookViewId="0">
      <pane xSplit="1" topLeftCell="B1" activePane="topRight" state="frozen"/>
      <selection activeCell="F11" sqref="F11"/>
      <selection pane="topRight" activeCell="A89" activeCellId="2" sqref="F4:F5 A86:A87 A89"/>
    </sheetView>
  </sheetViews>
  <sheetFormatPr defaultRowHeight="15"/>
  <cols>
    <col min="1" max="1" width="63" customWidth="1"/>
    <col min="2" max="2" width="11.5703125" bestFit="1" customWidth="1"/>
    <col min="3" max="3" width="20.42578125" bestFit="1" customWidth="1"/>
    <col min="4" max="4" width="25.5703125" bestFit="1" customWidth="1"/>
    <col min="5" max="5" width="28" customWidth="1"/>
    <col min="6" max="7" width="29.140625" customWidth="1"/>
    <col min="8" max="8" width="31.85546875" customWidth="1"/>
    <col min="9" max="9" width="31.5703125" customWidth="1"/>
    <col min="10" max="10" width="30.85546875" customWidth="1"/>
    <col min="11" max="11" width="12.85546875" customWidth="1"/>
    <col min="12" max="12" width="25.85546875" bestFit="1" customWidth="1"/>
    <col min="13" max="13" width="30.140625" bestFit="1" customWidth="1"/>
    <col min="14" max="14" width="9.140625" customWidth="1"/>
  </cols>
  <sheetData>
    <row r="1" spans="1:12" ht="26.25">
      <c r="A1" s="23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ht="17.25">
      <c r="A2" s="24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2" ht="16.5">
      <c r="A3" s="25" t="s">
        <v>475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2" ht="16.5">
      <c r="A4" s="25"/>
      <c r="B4" s="12"/>
      <c r="C4" s="12"/>
      <c r="D4" s="12"/>
      <c r="E4" s="12"/>
      <c r="F4" s="503" t="s">
        <v>0</v>
      </c>
      <c r="G4" s="12"/>
      <c r="H4" s="12"/>
      <c r="I4" s="12"/>
      <c r="J4" s="12"/>
      <c r="K4" s="12"/>
    </row>
    <row r="5" spans="1:12" ht="16.5">
      <c r="B5" s="12"/>
      <c r="C5" s="12"/>
      <c r="D5" s="12"/>
      <c r="E5" s="26"/>
      <c r="F5" s="503" t="s">
        <v>0</v>
      </c>
      <c r="G5" s="12"/>
      <c r="H5" s="12"/>
      <c r="I5" s="12"/>
      <c r="J5" s="12"/>
      <c r="K5" s="12" t="s">
        <v>0</v>
      </c>
    </row>
    <row r="6" spans="1:12" ht="16.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2" ht="16.5">
      <c r="A7" s="12"/>
      <c r="B7" s="33"/>
      <c r="C7" s="33"/>
      <c r="D7" s="33"/>
      <c r="E7" s="33"/>
      <c r="F7" s="33"/>
      <c r="G7" s="14"/>
      <c r="H7" s="42"/>
      <c r="I7" s="42"/>
      <c r="J7" s="84"/>
      <c r="K7" s="84"/>
      <c r="L7" s="3"/>
    </row>
    <row r="8" spans="1:12" ht="16.5">
      <c r="A8" s="85"/>
      <c r="B8" s="33"/>
      <c r="C8" s="33"/>
      <c r="D8" s="33"/>
      <c r="F8" s="33" t="s">
        <v>0</v>
      </c>
      <c r="G8" s="14"/>
      <c r="H8" s="42"/>
      <c r="I8" s="42"/>
      <c r="J8" s="84"/>
      <c r="K8" s="84"/>
      <c r="L8" s="3"/>
    </row>
    <row r="9" spans="1:12" ht="16.5">
      <c r="A9" s="85"/>
      <c r="B9" s="33"/>
      <c r="D9" s="33"/>
      <c r="E9" s="33" t="s">
        <v>0</v>
      </c>
      <c r="F9" s="33"/>
      <c r="G9" s="14"/>
      <c r="H9" s="42"/>
      <c r="I9" s="42"/>
      <c r="J9" s="84"/>
      <c r="K9" s="84"/>
      <c r="L9" s="3"/>
    </row>
    <row r="10" spans="1:12" ht="16.5">
      <c r="A10" s="42"/>
      <c r="D10" s="42"/>
      <c r="E10" s="42" t="s">
        <v>0</v>
      </c>
      <c r="F10" s="42"/>
      <c r="G10" s="42"/>
      <c r="H10" s="42"/>
      <c r="I10" s="42"/>
      <c r="J10" s="42"/>
      <c r="K10" s="42"/>
      <c r="L10" s="2"/>
    </row>
    <row r="11" spans="1:12" ht="17.25" thickBot="1">
      <c r="A11" s="42"/>
      <c r="D11" s="42"/>
      <c r="E11" s="86"/>
      <c r="F11" s="28"/>
      <c r="G11" s="86"/>
      <c r="H11" s="42"/>
      <c r="I11" s="42"/>
      <c r="J11" s="42"/>
      <c r="K11" s="42"/>
      <c r="L11" s="2"/>
    </row>
    <row r="12" spans="1:12" ht="27" thickBot="1">
      <c r="A12" s="27" t="s">
        <v>338</v>
      </c>
      <c r="D12" s="42"/>
      <c r="E12" s="42"/>
      <c r="F12" s="30" t="s">
        <v>75</v>
      </c>
      <c r="G12" s="42"/>
      <c r="H12" s="42"/>
      <c r="I12" s="42"/>
      <c r="J12" s="42"/>
      <c r="K12" s="12"/>
    </row>
    <row r="13" spans="1:12" ht="21" thickBot="1">
      <c r="A13" s="29"/>
      <c r="D13" s="42"/>
      <c r="E13" s="86"/>
      <c r="F13" s="35" t="s">
        <v>487</v>
      </c>
      <c r="G13" s="86"/>
      <c r="H13" s="42"/>
      <c r="I13" s="42"/>
      <c r="J13" s="42"/>
      <c r="K13" s="12"/>
    </row>
    <row r="14" spans="1:12" ht="20.25">
      <c r="A14" s="29"/>
      <c r="B14" s="42"/>
      <c r="C14" s="42"/>
      <c r="D14" s="42"/>
      <c r="E14" s="42"/>
      <c r="F14" s="13" t="s">
        <v>0</v>
      </c>
      <c r="G14" s="42"/>
      <c r="H14" s="42"/>
      <c r="I14" s="42"/>
      <c r="J14" s="42"/>
      <c r="K14" s="12"/>
    </row>
    <row r="15" spans="1:12" ht="17.25" thickBot="1">
      <c r="A15" s="40" t="s">
        <v>0</v>
      </c>
      <c r="B15" s="40" t="s">
        <v>0</v>
      </c>
      <c r="C15" s="40" t="s">
        <v>0</v>
      </c>
      <c r="D15" s="40"/>
      <c r="E15" s="40"/>
      <c r="F15" s="40"/>
      <c r="G15" s="40" t="s">
        <v>0</v>
      </c>
      <c r="H15" s="86"/>
      <c r="I15" s="86"/>
      <c r="J15" s="86"/>
      <c r="K15" s="12"/>
    </row>
    <row r="16" spans="1:12" ht="17.25">
      <c r="A16" s="237"/>
      <c r="B16" s="238"/>
      <c r="C16" s="254"/>
      <c r="D16" s="222" t="s">
        <v>13</v>
      </c>
      <c r="E16" s="250" t="s">
        <v>13</v>
      </c>
      <c r="F16" s="222" t="s">
        <v>13</v>
      </c>
      <c r="G16" s="239" t="s">
        <v>228</v>
      </c>
      <c r="H16" s="251" t="s">
        <v>488</v>
      </c>
      <c r="I16" s="239" t="s">
        <v>488</v>
      </c>
      <c r="J16" s="251" t="s">
        <v>488</v>
      </c>
      <c r="K16" s="12"/>
    </row>
    <row r="17" spans="1:13" ht="17.25">
      <c r="A17" s="87" t="s">
        <v>0</v>
      </c>
      <c r="B17" s="88" t="s">
        <v>3</v>
      </c>
      <c r="C17" s="225" t="s">
        <v>5</v>
      </c>
      <c r="D17" s="90" t="s">
        <v>10</v>
      </c>
      <c r="E17" s="252" t="s">
        <v>10</v>
      </c>
      <c r="F17" s="90" t="s">
        <v>19</v>
      </c>
      <c r="G17" s="91" t="s">
        <v>488</v>
      </c>
      <c r="H17" s="88" t="s">
        <v>12</v>
      </c>
      <c r="I17" s="92" t="s">
        <v>11</v>
      </c>
      <c r="J17" s="93" t="s">
        <v>142</v>
      </c>
      <c r="K17" s="12"/>
    </row>
    <row r="18" spans="1:13" ht="17.25">
      <c r="A18" s="87" t="s">
        <v>2</v>
      </c>
      <c r="B18" s="88" t="s">
        <v>4</v>
      </c>
      <c r="C18" s="225" t="s">
        <v>6</v>
      </c>
      <c r="D18" s="90" t="s">
        <v>45</v>
      </c>
      <c r="E18" s="252" t="s">
        <v>46</v>
      </c>
      <c r="F18" s="90" t="s">
        <v>10</v>
      </c>
      <c r="G18" s="91" t="s">
        <v>10</v>
      </c>
      <c r="H18" s="88" t="s">
        <v>73</v>
      </c>
      <c r="I18" s="242" t="s">
        <v>374</v>
      </c>
      <c r="J18" s="93" t="s">
        <v>229</v>
      </c>
      <c r="K18" s="12" t="s">
        <v>0</v>
      </c>
    </row>
    <row r="19" spans="1:13" ht="18" thickBot="1">
      <c r="A19" s="94" t="s">
        <v>0</v>
      </c>
      <c r="B19" s="95" t="s">
        <v>0</v>
      </c>
      <c r="C19" s="115" t="s">
        <v>0</v>
      </c>
      <c r="D19" s="95" t="s">
        <v>0</v>
      </c>
      <c r="E19" s="96" t="s">
        <v>0</v>
      </c>
      <c r="F19" s="95" t="s">
        <v>0</v>
      </c>
      <c r="G19" s="96" t="s">
        <v>0</v>
      </c>
      <c r="H19" s="97" t="s">
        <v>61</v>
      </c>
      <c r="I19" s="98" t="s">
        <v>60</v>
      </c>
      <c r="J19" s="97" t="s">
        <v>60</v>
      </c>
      <c r="K19" s="12"/>
    </row>
    <row r="20" spans="1:13" ht="16.5">
      <c r="A20" s="255" t="s">
        <v>7</v>
      </c>
      <c r="B20" s="279" t="s">
        <v>7</v>
      </c>
      <c r="C20" s="255" t="s">
        <v>7</v>
      </c>
      <c r="D20" s="288" t="s">
        <v>7</v>
      </c>
      <c r="E20" s="288" t="s">
        <v>7</v>
      </c>
      <c r="F20" s="41" t="s">
        <v>15</v>
      </c>
      <c r="G20" s="255" t="s">
        <v>7</v>
      </c>
      <c r="H20" s="255" t="s">
        <v>8</v>
      </c>
      <c r="I20" s="255" t="s">
        <v>8</v>
      </c>
      <c r="J20" s="255" t="s">
        <v>8</v>
      </c>
      <c r="K20" s="12"/>
    </row>
    <row r="21" spans="1:13" ht="17.25">
      <c r="A21" s="88"/>
      <c r="B21" s="89"/>
      <c r="C21" s="88"/>
      <c r="D21" s="225"/>
      <c r="E21" s="89"/>
      <c r="F21" s="87"/>
      <c r="G21" s="88"/>
      <c r="H21" s="88"/>
      <c r="I21" s="117"/>
      <c r="J21" s="101"/>
      <c r="K21" s="12"/>
    </row>
    <row r="22" spans="1:13" ht="17.25">
      <c r="A22" s="315" t="s">
        <v>340</v>
      </c>
      <c r="B22" s="33" t="s">
        <v>341</v>
      </c>
      <c r="C22" s="88" t="s">
        <v>339</v>
      </c>
      <c r="D22" s="57">
        <v>17.11</v>
      </c>
      <c r="E22" s="104">
        <v>16.18</v>
      </c>
      <c r="F22" s="343">
        <f t="shared" ref="F22:F27" si="0">AVERAGE(D22,E22)</f>
        <v>16.645</v>
      </c>
      <c r="G22" s="343">
        <v>16.489999999999998</v>
      </c>
      <c r="H22" s="318">
        <v>3439986779</v>
      </c>
      <c r="I22" s="105">
        <f>3356000000</f>
        <v>3356000000</v>
      </c>
      <c r="J22" s="318">
        <f>(25000000+68308000000)</f>
        <v>68333000000</v>
      </c>
      <c r="K22" s="12"/>
    </row>
    <row r="23" spans="1:13" ht="17.25">
      <c r="A23" s="315" t="s">
        <v>342</v>
      </c>
      <c r="B23" s="242" t="s">
        <v>343</v>
      </c>
      <c r="C23" s="88" t="s">
        <v>339</v>
      </c>
      <c r="D23" s="104">
        <v>32.950000000000003</v>
      </c>
      <c r="E23" s="104">
        <v>30.01</v>
      </c>
      <c r="F23" s="343">
        <f t="shared" si="0"/>
        <v>31.480000000000004</v>
      </c>
      <c r="G23" s="343">
        <v>32.06</v>
      </c>
      <c r="H23" s="321">
        <v>2161760683</v>
      </c>
      <c r="I23" s="105">
        <v>44000000</v>
      </c>
      <c r="J23" s="484">
        <f>32770000000+1625000000</f>
        <v>34395000000</v>
      </c>
      <c r="K23" s="12"/>
    </row>
    <row r="24" spans="1:13" ht="17.25">
      <c r="A24" s="315" t="s">
        <v>344</v>
      </c>
      <c r="B24" s="242" t="s">
        <v>345</v>
      </c>
      <c r="C24" s="88" t="s">
        <v>339</v>
      </c>
      <c r="D24" s="289">
        <v>35.200000000000003</v>
      </c>
      <c r="E24" s="57">
        <v>31.63</v>
      </c>
      <c r="F24" s="343">
        <f t="shared" si="0"/>
        <v>33.414999999999999</v>
      </c>
      <c r="G24" s="104">
        <v>34.5</v>
      </c>
      <c r="H24" s="318">
        <f>129403244+78283296</f>
        <v>207686540</v>
      </c>
      <c r="I24" s="319"/>
      <c r="J24" s="318">
        <f>3739500000+32500000</f>
        <v>3772000000</v>
      </c>
      <c r="K24" s="12"/>
    </row>
    <row r="25" spans="1:13" ht="17.25">
      <c r="A25" s="315" t="s">
        <v>346</v>
      </c>
      <c r="B25" s="33" t="s">
        <v>347</v>
      </c>
      <c r="C25" s="88" t="s">
        <v>339</v>
      </c>
      <c r="D25" s="289">
        <v>56.26</v>
      </c>
      <c r="E25" s="57">
        <v>47.8</v>
      </c>
      <c r="F25" s="343">
        <f>AVERAGE(D25,E25)</f>
        <v>52.03</v>
      </c>
      <c r="G25" s="104">
        <v>53.37</v>
      </c>
      <c r="H25" s="318">
        <f>368000000+647000000</f>
        <v>1015000000</v>
      </c>
      <c r="I25" s="319"/>
      <c r="J25" s="318">
        <f>24151000000+1502000000</f>
        <v>25653000000</v>
      </c>
      <c r="K25" s="12"/>
      <c r="L25" t="s">
        <v>0</v>
      </c>
    </row>
    <row r="26" spans="1:13" ht="17.25">
      <c r="A26" s="315" t="s">
        <v>348</v>
      </c>
      <c r="B26" s="33" t="s">
        <v>349</v>
      </c>
      <c r="C26" s="88" t="s">
        <v>339</v>
      </c>
      <c r="D26" s="289">
        <v>18.28</v>
      </c>
      <c r="E26" s="57">
        <v>15.69</v>
      </c>
      <c r="F26" s="343">
        <f t="shared" si="0"/>
        <v>16.984999999999999</v>
      </c>
      <c r="G26" s="104">
        <v>17.96</v>
      </c>
      <c r="H26" s="318">
        <v>705520697</v>
      </c>
      <c r="I26" s="319">
        <f>1248000000+787000000</f>
        <v>2035000000</v>
      </c>
      <c r="J26" s="320">
        <f>1578000000</f>
        <v>1578000000</v>
      </c>
      <c r="K26" s="12"/>
      <c r="L26" t="s">
        <v>0</v>
      </c>
    </row>
    <row r="27" spans="1:13" ht="18" thickBot="1">
      <c r="A27" s="339" t="s">
        <v>350</v>
      </c>
      <c r="B27" s="35" t="s">
        <v>351</v>
      </c>
      <c r="C27" s="95" t="s">
        <v>339</v>
      </c>
      <c r="D27" s="347">
        <v>40.57</v>
      </c>
      <c r="E27" s="346">
        <v>36.9</v>
      </c>
      <c r="F27" s="345">
        <f t="shared" si="0"/>
        <v>38.734999999999999</v>
      </c>
      <c r="G27" s="344">
        <v>39.5</v>
      </c>
      <c r="H27" s="316">
        <v>403205667</v>
      </c>
      <c r="I27" s="317">
        <v>868978000</v>
      </c>
      <c r="J27" s="316">
        <f>8195170000</f>
        <v>8195170000</v>
      </c>
      <c r="K27" s="12"/>
      <c r="M27" s="10" t="s">
        <v>0</v>
      </c>
    </row>
    <row r="28" spans="1:13" ht="17.25">
      <c r="A28" s="106"/>
      <c r="B28" s="106"/>
      <c r="C28" s="106"/>
      <c r="D28" s="106"/>
      <c r="E28" s="106"/>
      <c r="F28" s="106"/>
      <c r="G28" s="106"/>
      <c r="H28" s="106"/>
      <c r="I28" s="106"/>
      <c r="J28" s="106"/>
      <c r="K28" s="12"/>
      <c r="L28" t="s">
        <v>0</v>
      </c>
    </row>
    <row r="29" spans="1:13" ht="17.25">
      <c r="A29" s="106"/>
      <c r="B29" s="106"/>
      <c r="C29" s="106"/>
      <c r="D29" s="106"/>
      <c r="E29" s="106"/>
      <c r="F29" s="106"/>
      <c r="G29" s="106"/>
      <c r="H29" s="106"/>
      <c r="I29" s="106"/>
      <c r="J29" s="106" t="s">
        <v>0</v>
      </c>
      <c r="K29" s="12"/>
    </row>
    <row r="30" spans="1:13" ht="18" thickBot="1">
      <c r="A30" s="502" t="s">
        <v>0</v>
      </c>
      <c r="B30" s="107"/>
      <c r="C30" s="107"/>
      <c r="D30" s="107"/>
      <c r="E30" s="107"/>
      <c r="F30" s="28"/>
      <c r="G30" s="107"/>
      <c r="H30" s="107"/>
      <c r="I30" s="107"/>
      <c r="J30" s="106"/>
      <c r="K30" s="106"/>
      <c r="L30" s="4"/>
    </row>
    <row r="31" spans="1:13" ht="17.25">
      <c r="A31" s="108"/>
      <c r="B31" s="410"/>
      <c r="C31" s="410"/>
      <c r="D31" s="109"/>
      <c r="E31" s="251" t="s">
        <v>0</v>
      </c>
      <c r="F31" s="110" t="s">
        <v>0</v>
      </c>
      <c r="G31" s="199"/>
      <c r="H31" s="109"/>
      <c r="I31" s="410"/>
      <c r="J31" s="112"/>
      <c r="K31" s="106"/>
      <c r="L31" s="4"/>
    </row>
    <row r="32" spans="1:13" ht="17.25">
      <c r="A32" s="87"/>
      <c r="B32" s="88"/>
      <c r="C32" s="88"/>
      <c r="D32" s="91" t="s">
        <v>488</v>
      </c>
      <c r="E32" s="88" t="s">
        <v>488</v>
      </c>
      <c r="F32" s="89" t="s">
        <v>488</v>
      </c>
      <c r="G32" s="415" t="s">
        <v>488</v>
      </c>
      <c r="H32" s="91" t="s">
        <v>488</v>
      </c>
      <c r="I32" s="415" t="s">
        <v>488</v>
      </c>
      <c r="J32" s="113" t="s">
        <v>488</v>
      </c>
      <c r="K32" s="12"/>
      <c r="L32" s="5"/>
    </row>
    <row r="33" spans="1:12" ht="17.25">
      <c r="A33" s="87" t="s">
        <v>0</v>
      </c>
      <c r="B33" s="88" t="s">
        <v>3</v>
      </c>
      <c r="C33" s="88" t="s">
        <v>5</v>
      </c>
      <c r="D33" s="89" t="s">
        <v>12</v>
      </c>
      <c r="E33" s="93" t="s">
        <v>141</v>
      </c>
      <c r="F33" s="103" t="s">
        <v>265</v>
      </c>
      <c r="G33" s="88" t="s">
        <v>196</v>
      </c>
      <c r="H33" s="103" t="s">
        <v>16</v>
      </c>
      <c r="I33" s="93" t="s">
        <v>17</v>
      </c>
      <c r="J33" s="114" t="s">
        <v>51</v>
      </c>
      <c r="K33" s="12"/>
      <c r="L33" s="5"/>
    </row>
    <row r="34" spans="1:12" ht="18" thickBot="1">
      <c r="A34" s="94" t="s">
        <v>2</v>
      </c>
      <c r="B34" s="95" t="s">
        <v>4</v>
      </c>
      <c r="C34" s="95" t="s">
        <v>6</v>
      </c>
      <c r="D34" s="96" t="s">
        <v>14</v>
      </c>
      <c r="E34" s="95" t="s">
        <v>14</v>
      </c>
      <c r="F34" s="96" t="s">
        <v>277</v>
      </c>
      <c r="G34" s="95" t="s">
        <v>14</v>
      </c>
      <c r="H34" s="96" t="s">
        <v>329</v>
      </c>
      <c r="I34" s="95" t="s">
        <v>0</v>
      </c>
      <c r="J34" s="115" t="s">
        <v>330</v>
      </c>
      <c r="K34" s="12"/>
      <c r="L34" s="1"/>
    </row>
    <row r="35" spans="1:12" ht="16.5">
      <c r="A35" s="99" t="s">
        <v>7</v>
      </c>
      <c r="B35" s="100" t="s">
        <v>7</v>
      </c>
      <c r="C35" s="100" t="s">
        <v>7</v>
      </c>
      <c r="D35" s="41" t="s">
        <v>15</v>
      </c>
      <c r="E35" s="100" t="s">
        <v>8</v>
      </c>
      <c r="F35" s="41" t="s">
        <v>8</v>
      </c>
      <c r="G35" s="100" t="s">
        <v>8</v>
      </c>
      <c r="H35" s="41" t="s">
        <v>15</v>
      </c>
      <c r="I35" s="100" t="s">
        <v>15</v>
      </c>
      <c r="J35" s="116" t="s">
        <v>15</v>
      </c>
      <c r="K35" s="12"/>
      <c r="L35" s="5"/>
    </row>
    <row r="36" spans="1:12" ht="17.25">
      <c r="A36" s="87"/>
      <c r="B36" s="88"/>
      <c r="C36" s="88"/>
      <c r="D36" s="106"/>
      <c r="E36" s="412"/>
      <c r="F36" s="106"/>
      <c r="G36" s="412"/>
      <c r="H36" s="60"/>
      <c r="I36" s="101"/>
      <c r="J36" s="117"/>
      <c r="K36" s="12"/>
      <c r="L36" s="4"/>
    </row>
    <row r="37" spans="1:12" ht="17.25">
      <c r="A37" s="102" t="str">
        <f t="shared" ref="A37:C40" si="1">+A22</f>
        <v>Energy Transfer LP</v>
      </c>
      <c r="B37" s="88" t="str">
        <f t="shared" si="1"/>
        <v>ET</v>
      </c>
      <c r="C37" s="88" t="str">
        <f t="shared" si="1"/>
        <v>Pipeline MLPs</v>
      </c>
      <c r="D37" s="118">
        <f t="shared" ref="D37:D42" si="2">(+H22)*G22</f>
        <v>56725381985.709991</v>
      </c>
      <c r="E37" s="413">
        <f t="shared" ref="E37:E42" si="3">(1/1)*I22</f>
        <v>3356000000</v>
      </c>
      <c r="F37" s="413">
        <f>(1515000000+10000000)</f>
        <v>1525000000</v>
      </c>
      <c r="G37" s="483">
        <f>(68.55/68.33)*J22</f>
        <v>68553009659.007759</v>
      </c>
      <c r="H37" s="105">
        <f t="shared" ref="H37:H39" si="4">+D37+E37+F37+G37</f>
        <v>130159391644.71774</v>
      </c>
      <c r="I37" s="416">
        <f t="shared" ref="I37:I39" si="5">(+D37)/H37</f>
        <v>0.43581474428328026</v>
      </c>
      <c r="J37" s="120">
        <f t="shared" ref="J37:J38" si="6">(+E37+F37+G37)/H37</f>
        <v>0.56418525571671974</v>
      </c>
      <c r="K37" s="12"/>
      <c r="L37" s="4"/>
    </row>
    <row r="38" spans="1:12" ht="17.25">
      <c r="A38" s="102" t="str">
        <f t="shared" si="1"/>
        <v>Enterprise Products Partnership LP</v>
      </c>
      <c r="B38" s="88" t="str">
        <f t="shared" si="1"/>
        <v>EPD</v>
      </c>
      <c r="C38" s="88" t="str">
        <f t="shared" si="1"/>
        <v>Pipeline MLPs</v>
      </c>
      <c r="D38" s="118">
        <f t="shared" si="2"/>
        <v>69306047496.980011</v>
      </c>
      <c r="E38" s="413">
        <f t="shared" si="3"/>
        <v>44000000</v>
      </c>
      <c r="F38" s="413">
        <v>105000000</v>
      </c>
      <c r="G38" s="319">
        <f>(32.2/34.1)*J23</f>
        <v>32478563049.853374</v>
      </c>
      <c r="H38" s="105">
        <f t="shared" si="4"/>
        <v>101933610546.83339</v>
      </c>
      <c r="I38" s="416">
        <f t="shared" si="5"/>
        <v>0.67991359400673201</v>
      </c>
      <c r="J38" s="120">
        <f t="shared" si="6"/>
        <v>0.32008640599326799</v>
      </c>
      <c r="K38" s="12"/>
      <c r="L38" s="4"/>
    </row>
    <row r="39" spans="1:12" ht="17.25">
      <c r="A39" s="485" t="str">
        <f t="shared" si="1"/>
        <v>Hess Midstream LP</v>
      </c>
      <c r="B39" s="88" t="str">
        <f t="shared" si="1"/>
        <v>HESM</v>
      </c>
      <c r="C39" s="88" t="str">
        <f t="shared" si="1"/>
        <v>Pipeline MLPs</v>
      </c>
      <c r="D39" s="118">
        <f>(+H24)*G24</f>
        <v>7165185630</v>
      </c>
      <c r="E39" s="414">
        <f>(1/1)*I24</f>
        <v>0</v>
      </c>
      <c r="F39" s="118"/>
      <c r="G39" s="318">
        <f>(3832.6/3772)*J24</f>
        <v>3832600000</v>
      </c>
      <c r="H39" s="105">
        <f t="shared" si="4"/>
        <v>10997785630</v>
      </c>
      <c r="I39" s="416">
        <f t="shared" si="5"/>
        <v>0.65151166526238247</v>
      </c>
      <c r="J39" s="120">
        <f>(+E39+F39+G39)/H39</f>
        <v>0.34848833473761753</v>
      </c>
      <c r="K39" s="12"/>
      <c r="L39" s="4"/>
    </row>
    <row r="40" spans="1:12" ht="17.25">
      <c r="A40" s="102" t="str">
        <f t="shared" si="1"/>
        <v>MPLX, LP</v>
      </c>
      <c r="B40" s="88" t="str">
        <f t="shared" si="1"/>
        <v>MPLX</v>
      </c>
      <c r="C40" s="88" t="str">
        <f t="shared" si="1"/>
        <v>Pipeline MLPs</v>
      </c>
      <c r="D40" s="118">
        <f>(+H25)*G25</f>
        <v>54170550000</v>
      </c>
      <c r="E40" s="413">
        <f>(1/1)*I25</f>
        <v>0</v>
      </c>
      <c r="F40" s="118">
        <v>53000000</v>
      </c>
      <c r="G40" s="318">
        <f>(24887/25821)*J25</f>
        <v>24725076914.139652</v>
      </c>
      <c r="H40" s="105">
        <f t="shared" ref="H40:H42" si="7">+D40+E40+F40+G40</f>
        <v>78948626914.139648</v>
      </c>
      <c r="I40" s="416">
        <f t="shared" ref="I40:I42" si="8">(+D40)/H40</f>
        <v>0.68614936215310018</v>
      </c>
      <c r="J40" s="120">
        <f t="shared" ref="J40:J42" si="9">(+E40+F40+G40)/H40</f>
        <v>0.31385063784689982</v>
      </c>
      <c r="K40" s="12"/>
      <c r="L40" s="4" t="s">
        <v>0</v>
      </c>
    </row>
    <row r="41" spans="1:12" ht="17.25">
      <c r="A41" s="102" t="str">
        <f t="shared" ref="A41:C41" si="10">+A26</f>
        <v>Plains All American Pipeline LP</v>
      </c>
      <c r="B41" s="88" t="str">
        <f t="shared" si="10"/>
        <v>PAA</v>
      </c>
      <c r="C41" s="88" t="str">
        <f t="shared" si="10"/>
        <v>Pipeline MLPs</v>
      </c>
      <c r="D41" s="118">
        <f t="shared" si="2"/>
        <v>12671151718.120001</v>
      </c>
      <c r="E41" s="413">
        <f t="shared" si="3"/>
        <v>2035000000</v>
      </c>
      <c r="F41" s="118">
        <v>202000000</v>
      </c>
      <c r="G41" s="318">
        <f>(9/9.2)*J26</f>
        <v>1543695652.1739132</v>
      </c>
      <c r="H41" s="105">
        <f t="shared" si="7"/>
        <v>16451847370.293915</v>
      </c>
      <c r="I41" s="416">
        <f t="shared" si="8"/>
        <v>0.77019628452179278</v>
      </c>
      <c r="J41" s="120">
        <f t="shared" si="9"/>
        <v>0.22980371547820713</v>
      </c>
      <c r="K41" s="12"/>
      <c r="L41" s="4"/>
    </row>
    <row r="42" spans="1:12" ht="17.25">
      <c r="A42" s="322" t="str">
        <f t="shared" ref="A42:C42" si="11">+A27</f>
        <v>Western Midstream Partners LP</v>
      </c>
      <c r="B42" s="88" t="str">
        <f t="shared" si="11"/>
        <v>WES</v>
      </c>
      <c r="C42" s="88" t="str">
        <f t="shared" si="11"/>
        <v>Pipeline MLPs</v>
      </c>
      <c r="D42" s="118">
        <f t="shared" si="2"/>
        <v>15926623846.5</v>
      </c>
      <c r="E42" s="413">
        <f t="shared" si="3"/>
        <v>868978000</v>
      </c>
      <c r="F42" s="118">
        <v>175421000</v>
      </c>
      <c r="G42" s="318">
        <f>(8022665/8195170)*J27</f>
        <v>8022665000</v>
      </c>
      <c r="H42" s="105">
        <f t="shared" si="7"/>
        <v>24993687846.5</v>
      </c>
      <c r="I42" s="416">
        <f t="shared" si="8"/>
        <v>0.6372258445537996</v>
      </c>
      <c r="J42" s="120">
        <f t="shared" si="9"/>
        <v>0.3627741554462004</v>
      </c>
      <c r="K42" s="12"/>
      <c r="L42" s="4"/>
    </row>
    <row r="43" spans="1:12" ht="18" thickBot="1">
      <c r="A43" s="121"/>
      <c r="B43" s="411"/>
      <c r="C43" s="411"/>
      <c r="D43" s="107"/>
      <c r="E43" s="411"/>
      <c r="F43" s="107"/>
      <c r="G43" s="411"/>
      <c r="H43" s="107"/>
      <c r="I43" s="411"/>
      <c r="J43" s="122"/>
      <c r="K43" s="12"/>
    </row>
    <row r="44" spans="1:12" ht="17.25">
      <c r="A44" s="12"/>
      <c r="B44" s="12"/>
      <c r="C44" s="12"/>
      <c r="D44" s="12"/>
      <c r="E44" s="12"/>
      <c r="F44" s="12"/>
      <c r="G44" s="12"/>
      <c r="H44" s="123" t="s">
        <v>45</v>
      </c>
      <c r="I44" s="126">
        <f>MAX(I37:I42)</f>
        <v>0.77019628452179278</v>
      </c>
      <c r="J44" s="126">
        <f>MAX(J37:J42)</f>
        <v>0.56418525571671974</v>
      </c>
      <c r="K44" s="12"/>
    </row>
    <row r="45" spans="1:12" ht="17.25">
      <c r="E45" s="12" t="s">
        <v>0</v>
      </c>
      <c r="G45" s="12" t="s">
        <v>0</v>
      </c>
      <c r="H45" s="331" t="s">
        <v>46</v>
      </c>
      <c r="I45" s="332">
        <f>MIN(I37:I42)</f>
        <v>0.43581474428328026</v>
      </c>
      <c r="J45" s="332">
        <f>MIN(J37:J42)</f>
        <v>0.22980371547820713</v>
      </c>
      <c r="K45" s="12"/>
    </row>
    <row r="46" spans="1:12" ht="17.25">
      <c r="E46" s="124"/>
      <c r="F46" s="290" t="s">
        <v>0</v>
      </c>
      <c r="G46" s="12" t="s">
        <v>0</v>
      </c>
      <c r="H46" s="14" t="s">
        <v>18</v>
      </c>
      <c r="I46" s="125">
        <f>MEDIAN(I37:I42)</f>
        <v>0.66571262963455724</v>
      </c>
      <c r="J46" s="126">
        <f>MEDIAN(J37:J42)</f>
        <v>0.33428737036544276</v>
      </c>
      <c r="K46" s="12"/>
    </row>
    <row r="47" spans="1:12" ht="17.25">
      <c r="E47" s="291" t="s">
        <v>0</v>
      </c>
      <c r="F47" s="290" t="s">
        <v>0</v>
      </c>
      <c r="G47" s="12" t="s">
        <v>0</v>
      </c>
      <c r="H47" s="14" t="s">
        <v>392</v>
      </c>
      <c r="I47" s="125">
        <f>AVERAGE(I37:I42)</f>
        <v>0.64346858246351457</v>
      </c>
      <c r="J47" s="126">
        <f>AVERAGE(J37:J42)</f>
        <v>0.35653141753648548</v>
      </c>
      <c r="K47" s="12"/>
    </row>
    <row r="48" spans="1:12" ht="18" thickBot="1">
      <c r="E48" s="124"/>
      <c r="G48" s="12"/>
      <c r="H48" s="12"/>
      <c r="I48" s="60"/>
      <c r="J48" s="60"/>
      <c r="K48" s="12"/>
    </row>
    <row r="49" spans="1:11" ht="27" thickBot="1">
      <c r="E49" s="124"/>
      <c r="G49" s="12"/>
      <c r="H49" s="188" t="s">
        <v>198</v>
      </c>
      <c r="I49" s="292">
        <v>0.64</v>
      </c>
      <c r="J49" s="293">
        <v>0.36</v>
      </c>
      <c r="K49" s="12"/>
    </row>
    <row r="50" spans="1:11" ht="17.25">
      <c r="E50" s="124"/>
      <c r="F50" s="12"/>
      <c r="G50" s="12"/>
      <c r="H50" s="12"/>
      <c r="I50" s="60"/>
      <c r="J50" s="60" t="s">
        <v>0</v>
      </c>
      <c r="K50" s="12"/>
    </row>
    <row r="51" spans="1:11" ht="16.5">
      <c r="E51" s="124"/>
      <c r="F51" s="12"/>
      <c r="G51" s="12"/>
      <c r="H51" s="12"/>
      <c r="I51" s="12"/>
      <c r="J51" s="12"/>
      <c r="K51" s="12"/>
    </row>
    <row r="52" spans="1:11" ht="16.5">
      <c r="E52" s="124"/>
      <c r="F52" s="12"/>
      <c r="G52" s="12"/>
      <c r="H52" s="12"/>
      <c r="I52" s="12"/>
      <c r="J52" s="12"/>
      <c r="K52" s="12"/>
    </row>
    <row r="53" spans="1:11" ht="26.25">
      <c r="A53" s="22" t="s">
        <v>72</v>
      </c>
      <c r="B53" s="12"/>
      <c r="C53" s="74"/>
      <c r="D53" s="128"/>
      <c r="E53" s="124"/>
      <c r="F53" s="12"/>
      <c r="G53" s="12"/>
      <c r="H53" s="12"/>
      <c r="I53" s="12"/>
      <c r="J53" s="12"/>
      <c r="K53" s="12"/>
    </row>
    <row r="54" spans="1:11" ht="16.5">
      <c r="A54" s="85" t="s">
        <v>54</v>
      </c>
      <c r="B54" s="12"/>
      <c r="C54" s="74"/>
      <c r="D54" s="128"/>
      <c r="E54" s="124"/>
      <c r="F54" s="12"/>
      <c r="G54" s="12"/>
      <c r="H54" s="12"/>
      <c r="I54" s="12"/>
      <c r="J54" s="12"/>
      <c r="K54" s="12"/>
    </row>
    <row r="55" spans="1:11" ht="16.5">
      <c r="A55" s="12" t="s">
        <v>0</v>
      </c>
      <c r="B55" s="12"/>
      <c r="C55" s="74"/>
      <c r="D55" s="128"/>
      <c r="E55" s="124"/>
      <c r="F55" s="12"/>
      <c r="G55" s="12"/>
      <c r="H55" s="12"/>
      <c r="I55" s="12"/>
      <c r="J55" s="12"/>
      <c r="K55" s="12"/>
    </row>
    <row r="56" spans="1:11" ht="16.5">
      <c r="A56" s="12" t="s">
        <v>145</v>
      </c>
    </row>
    <row r="57" spans="1:11" ht="16.5">
      <c r="A57" s="12" t="s">
        <v>143</v>
      </c>
    </row>
    <row r="58" spans="1:11" ht="16.5">
      <c r="A58" s="12" t="s">
        <v>144</v>
      </c>
    </row>
    <row r="59" spans="1:11" ht="16.5">
      <c r="A59" s="12" t="s">
        <v>427</v>
      </c>
    </row>
    <row r="62" spans="1:11" ht="26.25">
      <c r="A62" s="253" t="s">
        <v>282</v>
      </c>
    </row>
    <row r="63" spans="1:11" ht="17.25" customHeight="1">
      <c r="A63" s="131" t="s">
        <v>352</v>
      </c>
      <c r="B63" s="314"/>
      <c r="C63" s="314"/>
      <c r="D63" s="308"/>
      <c r="E63" s="308"/>
    </row>
    <row r="64" spans="1:11" ht="16.5">
      <c r="A64" s="131" t="s">
        <v>353</v>
      </c>
      <c r="B64" s="314"/>
      <c r="C64" s="314"/>
      <c r="D64" s="308"/>
      <c r="E64" s="308"/>
    </row>
    <row r="65" spans="1:5" ht="16.5">
      <c r="A65" s="131" t="s">
        <v>354</v>
      </c>
      <c r="B65" s="308"/>
      <c r="C65" s="308"/>
      <c r="D65" s="308"/>
      <c r="E65" s="308"/>
    </row>
    <row r="66" spans="1:5" ht="16.5">
      <c r="A66" s="131" t="s">
        <v>355</v>
      </c>
      <c r="B66" s="308"/>
      <c r="C66" s="308"/>
      <c r="D66" s="308"/>
      <c r="E66" s="308"/>
    </row>
    <row r="67" spans="1:5" ht="16.5">
      <c r="A67" s="131" t="s">
        <v>356</v>
      </c>
      <c r="B67" s="308"/>
      <c r="C67" s="308"/>
      <c r="D67" s="308"/>
      <c r="E67" s="308"/>
    </row>
    <row r="68" spans="1:5" ht="16.5">
      <c r="A68" s="131" t="s">
        <v>421</v>
      </c>
      <c r="B68" s="308"/>
      <c r="C68" s="308"/>
      <c r="D68" s="308"/>
      <c r="E68" s="308"/>
    </row>
    <row r="69" spans="1:5" ht="16.5">
      <c r="A69" s="131" t="s">
        <v>357</v>
      </c>
      <c r="B69" s="308"/>
      <c r="C69" s="308"/>
      <c r="D69" s="308"/>
      <c r="E69" s="308"/>
    </row>
    <row r="70" spans="1:5" ht="20.25" customHeight="1">
      <c r="A70" s="131" t="s">
        <v>358</v>
      </c>
      <c r="B70" s="308"/>
      <c r="C70" s="308"/>
      <c r="D70" s="308"/>
      <c r="E70" s="308"/>
    </row>
    <row r="71" spans="1:5" ht="20.25" customHeight="1">
      <c r="A71" s="131" t="s">
        <v>422</v>
      </c>
      <c r="B71" s="308"/>
      <c r="C71" s="308"/>
      <c r="D71" s="308"/>
      <c r="E71" s="308"/>
    </row>
    <row r="72" spans="1:5" ht="20.25" customHeight="1">
      <c r="A72" s="131" t="s">
        <v>423</v>
      </c>
      <c r="B72" s="308"/>
      <c r="C72" s="308"/>
      <c r="D72" s="308"/>
      <c r="E72" s="308"/>
    </row>
    <row r="73" spans="1:5" ht="20.25" customHeight="1">
      <c r="A73" s="131" t="s">
        <v>433</v>
      </c>
      <c r="B73" s="308"/>
      <c r="C73" s="308"/>
      <c r="D73" s="308"/>
      <c r="E73" s="308"/>
    </row>
    <row r="74" spans="1:5" ht="16.5">
      <c r="A74" s="131" t="s">
        <v>359</v>
      </c>
      <c r="B74" s="308"/>
      <c r="C74" s="308"/>
      <c r="D74" s="308"/>
      <c r="E74" s="308"/>
    </row>
    <row r="75" spans="1:5" ht="17.25">
      <c r="A75" s="338" t="s">
        <v>373</v>
      </c>
      <c r="B75" s="308"/>
      <c r="C75" s="308"/>
      <c r="D75" s="308"/>
      <c r="E75" s="308"/>
    </row>
    <row r="76" spans="1:5" ht="16.5">
      <c r="A76" s="131" t="s">
        <v>360</v>
      </c>
      <c r="B76" s="308"/>
      <c r="C76" s="308"/>
      <c r="D76" s="308"/>
      <c r="E76" s="308"/>
    </row>
    <row r="77" spans="1:5" ht="16.5">
      <c r="A77" s="131" t="s">
        <v>361</v>
      </c>
    </row>
    <row r="78" spans="1:5" ht="16.5">
      <c r="A78" s="131" t="s">
        <v>362</v>
      </c>
      <c r="B78" s="308"/>
      <c r="C78" s="308"/>
      <c r="D78" s="308"/>
      <c r="E78" s="308"/>
    </row>
    <row r="79" spans="1:5" ht="16.5">
      <c r="A79" s="131" t="s">
        <v>363</v>
      </c>
      <c r="B79" s="308"/>
      <c r="C79" s="308"/>
      <c r="D79" s="308"/>
      <c r="E79" s="308"/>
    </row>
    <row r="80" spans="1:5" ht="16.5">
      <c r="A80" s="131" t="s">
        <v>364</v>
      </c>
      <c r="B80" s="308"/>
      <c r="C80" s="308"/>
      <c r="D80" s="308"/>
      <c r="E80" s="308"/>
    </row>
    <row r="81" spans="1:5" ht="16.5">
      <c r="A81" s="131" t="s">
        <v>365</v>
      </c>
      <c r="B81" s="308"/>
      <c r="C81" s="308"/>
      <c r="D81" s="308"/>
      <c r="E81" s="308"/>
    </row>
    <row r="82" spans="1:5" ht="16.5">
      <c r="A82" s="131" t="s">
        <v>366</v>
      </c>
      <c r="B82" s="308"/>
      <c r="C82" s="308"/>
      <c r="D82" s="308"/>
      <c r="E82" s="308"/>
    </row>
    <row r="83" spans="1:5" ht="16.5">
      <c r="A83" s="131" t="s">
        <v>367</v>
      </c>
    </row>
    <row r="84" spans="1:5" ht="16.5">
      <c r="A84" s="131"/>
    </row>
    <row r="85" spans="1:5" ht="26.25">
      <c r="A85" s="253" t="s">
        <v>368</v>
      </c>
    </row>
    <row r="86" spans="1:5" ht="16.5">
      <c r="A86" s="503" t="s">
        <v>369</v>
      </c>
    </row>
    <row r="87" spans="1:5" ht="16.5">
      <c r="A87" s="503" t="s">
        <v>370</v>
      </c>
    </row>
    <row r="88" spans="1:5" ht="26.25">
      <c r="A88" s="253" t="s">
        <v>371</v>
      </c>
    </row>
    <row r="89" spans="1:5" ht="16.5">
      <c r="A89" s="503" t="s">
        <v>372</v>
      </c>
    </row>
  </sheetData>
  <pageMargins left="0.25" right="0.25" top="0.75" bottom="0.75" header="0.3" footer="0.3"/>
  <pageSetup scale="32" orientation="landscape" r:id="rId1"/>
  <rowBreaks count="1" manualBreakCount="1">
    <brk id="49" max="11" man="1"/>
  </rowBreaks>
  <colBreaks count="1" manualBreakCount="1">
    <brk id="11" max="94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FF50-7DB7-41D1-AD2F-655311479817}">
  <sheetPr>
    <tabColor rgb="FF92D050"/>
    <pageSetUpPr fitToPage="1"/>
  </sheetPr>
  <dimension ref="A1:J58"/>
  <sheetViews>
    <sheetView view="pageBreakPreview" zoomScale="70" zoomScaleNormal="80" zoomScaleSheetLayoutView="70" zoomScalePageLayoutView="70" workbookViewId="0">
      <pane xSplit="1" topLeftCell="B1" activePane="topRight" state="frozen"/>
      <selection activeCell="F11" sqref="F11"/>
      <selection pane="topRight" activeCell="F4" sqref="F4:F5"/>
    </sheetView>
  </sheetViews>
  <sheetFormatPr defaultRowHeight="15"/>
  <cols>
    <col min="1" max="1" width="62.42578125" customWidth="1"/>
    <col min="2" max="2" width="11.5703125" bestFit="1" customWidth="1"/>
    <col min="3" max="3" width="20.42578125" bestFit="1" customWidth="1"/>
    <col min="4" max="4" width="30.140625" customWidth="1"/>
    <col min="5" max="5" width="28" customWidth="1"/>
    <col min="6" max="6" width="29.140625" customWidth="1"/>
    <col min="7" max="7" width="23.42578125" customWidth="1"/>
    <col min="8" max="8" width="12.85546875" customWidth="1"/>
    <col min="9" max="9" width="25.85546875" bestFit="1" customWidth="1"/>
    <col min="10" max="10" width="30.140625" bestFit="1" customWidth="1"/>
    <col min="11" max="11" width="9.140625" customWidth="1"/>
  </cols>
  <sheetData>
    <row r="1" spans="1:9" ht="26.25">
      <c r="A1" s="23" t="s">
        <v>1</v>
      </c>
      <c r="B1" s="12"/>
      <c r="C1" s="12"/>
      <c r="D1" s="12"/>
      <c r="E1" s="12"/>
      <c r="F1" s="12"/>
      <c r="G1" s="12"/>
      <c r="H1" s="12"/>
    </row>
    <row r="2" spans="1:9" ht="17.25">
      <c r="A2" s="24" t="s">
        <v>9</v>
      </c>
      <c r="B2" s="12"/>
      <c r="C2" s="12"/>
      <c r="D2" s="12"/>
      <c r="E2" s="12"/>
      <c r="F2" s="12"/>
      <c r="G2" s="12"/>
      <c r="H2" s="12"/>
    </row>
    <row r="3" spans="1:9" ht="16.5">
      <c r="A3" s="25" t="s">
        <v>475</v>
      </c>
      <c r="B3" s="12"/>
      <c r="C3" s="12"/>
      <c r="D3" s="12"/>
      <c r="E3" s="12"/>
      <c r="F3" s="12"/>
      <c r="G3" s="12"/>
      <c r="H3" s="12"/>
    </row>
    <row r="4" spans="1:9" ht="16.5">
      <c r="A4" s="25"/>
      <c r="B4" s="12"/>
      <c r="C4" s="12"/>
      <c r="D4" s="12"/>
      <c r="E4" s="12"/>
      <c r="F4" s="503" t="s">
        <v>0</v>
      </c>
      <c r="G4" s="12"/>
      <c r="H4" s="12"/>
    </row>
    <row r="5" spans="1:9" ht="16.5">
      <c r="B5" s="12"/>
      <c r="C5" s="12"/>
      <c r="D5" s="12"/>
      <c r="E5" s="26"/>
      <c r="F5" s="503" t="s">
        <v>0</v>
      </c>
      <c r="G5" s="12"/>
      <c r="H5" s="12" t="s">
        <v>0</v>
      </c>
    </row>
    <row r="6" spans="1:9" ht="16.5">
      <c r="A6" s="85"/>
      <c r="B6" s="33"/>
      <c r="C6" s="33"/>
      <c r="D6" s="33"/>
      <c r="E6" s="33"/>
      <c r="F6" s="33"/>
      <c r="G6" s="14"/>
      <c r="H6" s="84"/>
      <c r="I6" s="3"/>
    </row>
    <row r="7" spans="1:9" ht="16.5">
      <c r="A7" s="42"/>
      <c r="B7" s="42"/>
      <c r="C7" s="42"/>
      <c r="D7" s="42"/>
      <c r="E7" s="42"/>
      <c r="F7" s="42"/>
      <c r="G7" s="42"/>
      <c r="H7" s="42"/>
      <c r="I7" s="2"/>
    </row>
    <row r="8" spans="1:9" ht="17.25" thickBot="1">
      <c r="A8" s="42"/>
      <c r="B8" s="42"/>
      <c r="C8" s="42"/>
      <c r="D8" s="86"/>
      <c r="E8" s="86" t="s">
        <v>0</v>
      </c>
      <c r="F8" s="86" t="s">
        <v>0</v>
      </c>
      <c r="H8" s="42"/>
      <c r="I8" s="2"/>
    </row>
    <row r="9" spans="1:9" ht="27" thickBot="1">
      <c r="A9" s="27" t="str">
        <f>+'S&amp;D'!A12</f>
        <v>Liquid Transportation Pipeline Carriers</v>
      </c>
      <c r="B9" s="42"/>
      <c r="D9" s="42"/>
      <c r="E9" s="30" t="s">
        <v>428</v>
      </c>
      <c r="F9" s="42"/>
      <c r="H9" s="12"/>
    </row>
    <row r="10" spans="1:9" ht="21" thickBot="1">
      <c r="A10" s="29"/>
      <c r="B10" s="42"/>
      <c r="C10" s="42"/>
      <c r="D10" s="86"/>
      <c r="E10" s="35" t="s">
        <v>487</v>
      </c>
      <c r="F10" s="86"/>
      <c r="H10" s="12"/>
    </row>
    <row r="11" spans="1:9" ht="20.25">
      <c r="A11" s="29"/>
      <c r="B11" s="42"/>
      <c r="C11" s="42"/>
      <c r="D11" s="42"/>
      <c r="E11" s="33"/>
      <c r="F11" s="42"/>
      <c r="H11" s="12"/>
    </row>
    <row r="12" spans="1:9" ht="20.25">
      <c r="A12" s="29"/>
      <c r="B12" s="42"/>
      <c r="C12" s="42"/>
      <c r="D12" s="42"/>
      <c r="E12" s="33"/>
      <c r="F12" s="42"/>
      <c r="H12" s="12"/>
    </row>
    <row r="13" spans="1:9" ht="16.5">
      <c r="B13" s="42"/>
      <c r="C13" s="42"/>
      <c r="D13" s="42"/>
      <c r="E13" s="33"/>
      <c r="F13" s="42"/>
      <c r="H13" s="12"/>
    </row>
    <row r="14" spans="1:9" ht="20.25">
      <c r="A14" s="29"/>
      <c r="B14" s="42"/>
      <c r="C14" s="42"/>
      <c r="D14" s="42"/>
      <c r="E14" s="13" t="s">
        <v>0</v>
      </c>
      <c r="F14" s="42"/>
      <c r="H14" s="12"/>
    </row>
    <row r="15" spans="1:9" ht="17.25" thickBot="1">
      <c r="A15" s="40" t="s">
        <v>0</v>
      </c>
      <c r="B15" s="40" t="s">
        <v>0</v>
      </c>
      <c r="C15" s="40" t="s">
        <v>0</v>
      </c>
      <c r="D15" s="40"/>
      <c r="E15" s="40"/>
      <c r="F15" s="40"/>
      <c r="H15" s="12"/>
    </row>
    <row r="16" spans="1:9" ht="17.25">
      <c r="A16" s="237"/>
      <c r="B16" s="238"/>
      <c r="C16" s="239"/>
      <c r="D16" s="222" t="s">
        <v>0</v>
      </c>
      <c r="E16" s="223" t="s">
        <v>0</v>
      </c>
      <c r="F16" s="222" t="s">
        <v>0</v>
      </c>
      <c r="H16" s="12"/>
    </row>
    <row r="17" spans="1:10" ht="17.25">
      <c r="A17" s="87" t="s">
        <v>0</v>
      </c>
      <c r="B17" s="88" t="s">
        <v>3</v>
      </c>
      <c r="C17" s="89" t="s">
        <v>5</v>
      </c>
      <c r="D17" s="90" t="s">
        <v>0</v>
      </c>
      <c r="E17" s="224" t="s">
        <v>0</v>
      </c>
      <c r="F17" s="90" t="s">
        <v>268</v>
      </c>
      <c r="H17" s="12"/>
    </row>
    <row r="18" spans="1:10" ht="17.25">
      <c r="A18" s="87"/>
      <c r="B18" s="88" t="s">
        <v>4</v>
      </c>
      <c r="C18" s="89" t="s">
        <v>6</v>
      </c>
      <c r="D18" s="90" t="s">
        <v>276</v>
      </c>
      <c r="E18" s="224" t="s">
        <v>276</v>
      </c>
      <c r="F18" s="90" t="s">
        <v>123</v>
      </c>
      <c r="H18" s="12"/>
    </row>
    <row r="19" spans="1:10" ht="18" thickBot="1">
      <c r="A19" s="94" t="s">
        <v>2</v>
      </c>
      <c r="B19" s="95" t="s">
        <v>0</v>
      </c>
      <c r="C19" s="96" t="s">
        <v>0</v>
      </c>
      <c r="D19" s="277" t="s">
        <v>266</v>
      </c>
      <c r="E19" s="276" t="s">
        <v>60</v>
      </c>
      <c r="F19" s="95" t="s">
        <v>0</v>
      </c>
      <c r="H19" s="12"/>
    </row>
    <row r="20" spans="1:10" ht="16.5">
      <c r="A20" s="278" t="s">
        <v>7</v>
      </c>
      <c r="B20" s="255" t="s">
        <v>7</v>
      </c>
      <c r="C20" s="279" t="s">
        <v>7</v>
      </c>
      <c r="D20" s="255" t="s">
        <v>7</v>
      </c>
      <c r="E20" s="116" t="s">
        <v>267</v>
      </c>
      <c r="F20" s="100"/>
      <c r="H20" s="12"/>
    </row>
    <row r="21" spans="1:10" ht="17.25">
      <c r="A21" s="87"/>
      <c r="B21" s="88"/>
      <c r="C21" s="89"/>
      <c r="D21" s="88"/>
      <c r="E21" s="225"/>
      <c r="F21" s="88"/>
      <c r="H21" s="12"/>
    </row>
    <row r="22" spans="1:10" ht="17.25">
      <c r="A22" s="102" t="str">
        <f>+'S&amp;D'!A22</f>
        <v>Energy Transfer LP</v>
      </c>
      <c r="B22" s="79" t="str">
        <f>+'S&amp;D'!B22</f>
        <v>ET</v>
      </c>
      <c r="C22" s="89" t="str">
        <f>+'S&amp;D'!C22</f>
        <v>Pipeline MLPs</v>
      </c>
      <c r="D22" s="240">
        <f>'S&amp;D'!D37</f>
        <v>56725381985.709991</v>
      </c>
      <c r="E22" s="241">
        <v>34366000000</v>
      </c>
      <c r="F22" s="104">
        <f t="shared" ref="F22:F27" si="0">+D22/E22</f>
        <v>1.6506250941543965</v>
      </c>
      <c r="H22" s="12"/>
    </row>
    <row r="23" spans="1:10" ht="17.25">
      <c r="A23" s="102" t="str">
        <f>+'S&amp;D'!A23</f>
        <v>Enterprise Products Partnership LP</v>
      </c>
      <c r="B23" s="79" t="str">
        <f>+'S&amp;D'!B23</f>
        <v>EPD</v>
      </c>
      <c r="C23" s="89" t="str">
        <f>+'S&amp;D'!C23</f>
        <v>Pipeline MLPs</v>
      </c>
      <c r="D23" s="240">
        <f>'S&amp;D'!D38</f>
        <v>69306047496.980011</v>
      </c>
      <c r="E23" s="241">
        <v>29739000000</v>
      </c>
      <c r="F23" s="104">
        <f t="shared" si="0"/>
        <v>2.330476730790545</v>
      </c>
      <c r="H23" s="12"/>
    </row>
    <row r="24" spans="1:10" ht="17.25">
      <c r="A24" s="102" t="str">
        <f>+'S&amp;D'!A24</f>
        <v>Hess Midstream LP</v>
      </c>
      <c r="B24" s="79" t="str">
        <f>+'S&amp;D'!B24</f>
        <v>HESM</v>
      </c>
      <c r="C24" s="89" t="str">
        <f>+'S&amp;D'!C24</f>
        <v>Pipeline MLPs</v>
      </c>
      <c r="D24" s="240">
        <f>'S&amp;D'!D39</f>
        <v>7165185630</v>
      </c>
      <c r="E24" s="241">
        <v>568300000</v>
      </c>
      <c r="F24" s="104">
        <f t="shared" si="0"/>
        <v>12.608104223121591</v>
      </c>
      <c r="H24" s="12"/>
    </row>
    <row r="25" spans="1:10" ht="17.25">
      <c r="A25" s="102" t="str">
        <f>+'S&amp;D'!A25</f>
        <v>MPLX, LP</v>
      </c>
      <c r="B25" s="79" t="str">
        <f>+'S&amp;D'!B25</f>
        <v>MPLX</v>
      </c>
      <c r="C25" s="89" t="str">
        <f>+'S&amp;D'!C25</f>
        <v>Pipeline MLPs</v>
      </c>
      <c r="D25" s="240">
        <f>'S&amp;D'!D40</f>
        <v>54170550000</v>
      </c>
      <c r="E25" s="241">
        <v>14301000000</v>
      </c>
      <c r="F25" s="104">
        <f t="shared" si="0"/>
        <v>3.787885462555066</v>
      </c>
      <c r="H25" s="12"/>
    </row>
    <row r="26" spans="1:10" ht="17.25">
      <c r="A26" s="102" t="str">
        <f>+'S&amp;D'!A26</f>
        <v>Plains All American Pipeline LP</v>
      </c>
      <c r="B26" s="79" t="str">
        <f>+'S&amp;D'!B26</f>
        <v>PAA</v>
      </c>
      <c r="C26" s="89" t="str">
        <f>+'S&amp;D'!C26</f>
        <v>Pipeline MLPs</v>
      </c>
      <c r="D26" s="240">
        <f>'S&amp;D'!D41</f>
        <v>12671151718.120001</v>
      </c>
      <c r="E26" s="241">
        <v>9836000000</v>
      </c>
      <c r="F26" s="104">
        <f t="shared" si="0"/>
        <v>1.2882423462911754</v>
      </c>
      <c r="H26" s="12"/>
    </row>
    <row r="27" spans="1:10" ht="18" thickBot="1">
      <c r="A27" s="283" t="str">
        <f>+'S&amp;D'!A27</f>
        <v>Western Midstream Partners LP</v>
      </c>
      <c r="B27" s="80" t="str">
        <f>+'S&amp;D'!B27</f>
        <v>WES</v>
      </c>
      <c r="C27" s="96" t="str">
        <f>+'S&amp;D'!C27</f>
        <v>Pipeline MLPs</v>
      </c>
      <c r="D27" s="240">
        <f>'S&amp;D'!D42</f>
        <v>15926623846.5</v>
      </c>
      <c r="E27" s="241">
        <v>4216554000</v>
      </c>
      <c r="F27" s="104">
        <f t="shared" si="0"/>
        <v>3.7771658673172452</v>
      </c>
      <c r="H27" s="12"/>
      <c r="J27" s="10" t="s">
        <v>0</v>
      </c>
    </row>
    <row r="28" spans="1:10" ht="27" customHeight="1" thickBot="1">
      <c r="A28" s="121"/>
      <c r="B28" s="107"/>
      <c r="C28" s="107"/>
      <c r="D28" s="122"/>
      <c r="E28" s="282" t="s">
        <v>275</v>
      </c>
      <c r="F28" s="189">
        <f>AVERAGE(F22:F27)</f>
        <v>4.2404166207050027</v>
      </c>
      <c r="H28" s="12"/>
    </row>
    <row r="29" spans="1:10" ht="17.25">
      <c r="A29" s="106"/>
      <c r="B29" s="106"/>
      <c r="C29" s="106"/>
      <c r="D29" s="106"/>
      <c r="E29" s="234"/>
      <c r="F29" s="236"/>
      <c r="H29" s="12"/>
    </row>
    <row r="30" spans="1:10" ht="17.25">
      <c r="A30" s="106"/>
      <c r="B30" s="106"/>
      <c r="C30" s="106"/>
      <c r="D30" s="106"/>
      <c r="E30" s="234"/>
      <c r="F30" s="236"/>
      <c r="H30" s="12"/>
    </row>
    <row r="31" spans="1:10" ht="17.25">
      <c r="A31" s="106"/>
      <c r="B31" s="106"/>
      <c r="C31" s="106"/>
      <c r="D31" s="106"/>
      <c r="E31" s="234"/>
      <c r="F31" s="236"/>
      <c r="H31" s="12"/>
    </row>
    <row r="32" spans="1:10" ht="18" thickBot="1">
      <c r="A32" s="106"/>
      <c r="B32" s="106"/>
      <c r="C32" s="106"/>
      <c r="D32" s="106"/>
      <c r="E32" s="106"/>
      <c r="F32" s="106"/>
      <c r="H32" s="12"/>
    </row>
    <row r="33" spans="1:8" ht="17.25">
      <c r="A33" s="237"/>
      <c r="B33" s="238"/>
      <c r="C33" s="239"/>
      <c r="D33" s="222" t="s">
        <v>0</v>
      </c>
      <c r="E33" s="223" t="s">
        <v>0</v>
      </c>
      <c r="F33" s="222" t="s">
        <v>0</v>
      </c>
      <c r="H33" s="12"/>
    </row>
    <row r="34" spans="1:8" ht="17.25">
      <c r="A34" s="87" t="s">
        <v>0</v>
      </c>
      <c r="B34" s="88" t="s">
        <v>3</v>
      </c>
      <c r="C34" s="89" t="s">
        <v>5</v>
      </c>
      <c r="D34" s="90" t="s">
        <v>0</v>
      </c>
      <c r="E34" s="224" t="s">
        <v>0</v>
      </c>
      <c r="F34" s="90" t="s">
        <v>268</v>
      </c>
      <c r="H34" s="12"/>
    </row>
    <row r="35" spans="1:8" ht="17.25">
      <c r="A35" s="87"/>
      <c r="B35" s="88" t="s">
        <v>4</v>
      </c>
      <c r="C35" s="89" t="s">
        <v>6</v>
      </c>
      <c r="D35" s="90" t="s">
        <v>269</v>
      </c>
      <c r="E35" s="224" t="s">
        <v>269</v>
      </c>
      <c r="F35" s="90" t="s">
        <v>123</v>
      </c>
    </row>
    <row r="36" spans="1:8" ht="18" thickBot="1">
      <c r="A36" s="94" t="s">
        <v>2</v>
      </c>
      <c r="B36" s="95" t="s">
        <v>0</v>
      </c>
      <c r="C36" s="96" t="s">
        <v>0</v>
      </c>
      <c r="D36" s="277" t="s">
        <v>266</v>
      </c>
      <c r="E36" s="276" t="s">
        <v>60</v>
      </c>
      <c r="F36" s="95" t="s">
        <v>0</v>
      </c>
    </row>
    <row r="37" spans="1:8">
      <c r="A37" s="278" t="s">
        <v>7</v>
      </c>
      <c r="B37" s="255" t="s">
        <v>7</v>
      </c>
      <c r="C37" s="279" t="s">
        <v>7</v>
      </c>
      <c r="D37" s="255" t="s">
        <v>267</v>
      </c>
      <c r="E37" s="116" t="s">
        <v>267</v>
      </c>
      <c r="F37" s="100"/>
    </row>
    <row r="38" spans="1:8" ht="17.25">
      <c r="A38" s="87"/>
      <c r="B38" s="88"/>
      <c r="C38" s="89"/>
      <c r="D38" s="88"/>
      <c r="E38" s="225"/>
      <c r="F38" s="88"/>
    </row>
    <row r="39" spans="1:8" ht="17.25">
      <c r="A39" s="102" t="str">
        <f t="shared" ref="A39:C44" si="1">+A22</f>
        <v>Energy Transfer LP</v>
      </c>
      <c r="B39" s="79" t="str">
        <f t="shared" si="1"/>
        <v>ET</v>
      </c>
      <c r="C39" s="89" t="str">
        <f t="shared" si="1"/>
        <v>Pipeline MLPs</v>
      </c>
      <c r="D39" s="240">
        <f>+'S&amp;D'!G37</f>
        <v>68553009659.007759</v>
      </c>
      <c r="E39" s="241">
        <f>+'S&amp;D'!J22</f>
        <v>68333000000</v>
      </c>
      <c r="F39" s="104">
        <f t="shared" ref="F39:F41" si="2">+D39/E39</f>
        <v>1.0032196692521587</v>
      </c>
    </row>
    <row r="40" spans="1:8" ht="17.25">
      <c r="A40" s="102" t="str">
        <f t="shared" si="1"/>
        <v>Enterprise Products Partnership LP</v>
      </c>
      <c r="B40" s="79" t="str">
        <f t="shared" si="1"/>
        <v>EPD</v>
      </c>
      <c r="C40" s="89" t="str">
        <f t="shared" si="1"/>
        <v>Pipeline MLPs</v>
      </c>
      <c r="D40" s="240">
        <f>+'S&amp;D'!G38</f>
        <v>32478563049.853374</v>
      </c>
      <c r="E40" s="241">
        <f>+'S&amp;D'!J23</f>
        <v>34395000000</v>
      </c>
      <c r="F40" s="104">
        <f t="shared" si="2"/>
        <v>0.94428152492668627</v>
      </c>
    </row>
    <row r="41" spans="1:8" ht="17.25">
      <c r="A41" s="102" t="str">
        <f t="shared" si="1"/>
        <v>Hess Midstream LP</v>
      </c>
      <c r="B41" s="79" t="str">
        <f t="shared" si="1"/>
        <v>HESM</v>
      </c>
      <c r="C41" s="89" t="str">
        <f t="shared" si="1"/>
        <v>Pipeline MLPs</v>
      </c>
      <c r="D41" s="240">
        <f>+'S&amp;D'!G39</f>
        <v>3832600000</v>
      </c>
      <c r="E41" s="241">
        <f>+'S&amp;D'!J24</f>
        <v>3772000000</v>
      </c>
      <c r="F41" s="104">
        <f t="shared" si="2"/>
        <v>1.0160657476139978</v>
      </c>
    </row>
    <row r="42" spans="1:8" ht="17.25">
      <c r="A42" s="102" t="str">
        <f t="shared" si="1"/>
        <v>MPLX, LP</v>
      </c>
      <c r="B42" s="79" t="str">
        <f t="shared" si="1"/>
        <v>MPLX</v>
      </c>
      <c r="C42" s="89" t="str">
        <f t="shared" si="1"/>
        <v>Pipeline MLPs</v>
      </c>
      <c r="D42" s="240">
        <f>+'S&amp;D'!G40</f>
        <v>24725076914.139652</v>
      </c>
      <c r="E42" s="241">
        <f>+'S&amp;D'!J25</f>
        <v>25653000000</v>
      </c>
      <c r="F42" s="104">
        <f>+D42/E42</f>
        <v>0.96382789202587038</v>
      </c>
    </row>
    <row r="43" spans="1:8" ht="17.25">
      <c r="A43" s="102" t="str">
        <f t="shared" si="1"/>
        <v>Plains All American Pipeline LP</v>
      </c>
      <c r="B43" s="79" t="str">
        <f t="shared" si="1"/>
        <v>PAA</v>
      </c>
      <c r="C43" s="89" t="str">
        <f t="shared" si="1"/>
        <v>Pipeline MLPs</v>
      </c>
      <c r="D43" s="240">
        <f>+'S&amp;D'!G41</f>
        <v>1543695652.1739132</v>
      </c>
      <c r="E43" s="241">
        <f>+'S&amp;D'!J26</f>
        <v>1578000000</v>
      </c>
      <c r="F43" s="104">
        <f t="shared" ref="F43:F44" si="3">+D43/E43</f>
        <v>0.97826086956521752</v>
      </c>
    </row>
    <row r="44" spans="1:8" ht="18" thickBot="1">
      <c r="A44" s="283" t="str">
        <f t="shared" si="1"/>
        <v>Western Midstream Partners LP</v>
      </c>
      <c r="B44" s="80" t="str">
        <f t="shared" si="1"/>
        <v>WES</v>
      </c>
      <c r="C44" s="96" t="str">
        <f t="shared" si="1"/>
        <v>Pipeline MLPs</v>
      </c>
      <c r="D44" s="284">
        <f>+'S&amp;D'!G42</f>
        <v>8022665000</v>
      </c>
      <c r="E44" s="284">
        <f>+'S&amp;D'!J27</f>
        <v>8195170000</v>
      </c>
      <c r="F44" s="104">
        <f t="shared" si="3"/>
        <v>0.97895040615386864</v>
      </c>
    </row>
    <row r="45" spans="1:8" ht="27.75" customHeight="1" thickBot="1">
      <c r="A45" s="280"/>
      <c r="B45" s="148"/>
      <c r="C45" s="148"/>
      <c r="D45" s="281"/>
      <c r="E45" s="282" t="s">
        <v>275</v>
      </c>
      <c r="F45" s="189">
        <f>AVERAGE(F39:F44)</f>
        <v>0.98076768492296662</v>
      </c>
    </row>
    <row r="50" spans="1:6">
      <c r="C50" s="226" t="s">
        <v>270</v>
      </c>
      <c r="D50" s="226" t="s">
        <v>271</v>
      </c>
      <c r="E50" s="226"/>
    </row>
    <row r="51" spans="1:6">
      <c r="A51" s="228"/>
      <c r="B51" s="228"/>
      <c r="C51" s="227" t="s">
        <v>35</v>
      </c>
      <c r="D51" s="227" t="s">
        <v>272</v>
      </c>
      <c r="E51" s="227" t="s">
        <v>273</v>
      </c>
    </row>
    <row r="52" spans="1:6" ht="17.25">
      <c r="A52" s="89" t="s">
        <v>39</v>
      </c>
      <c r="B52" s="137" t="s">
        <v>0</v>
      </c>
      <c r="C52" s="137">
        <f>+'Yield CapRate'!C23</f>
        <v>0.64</v>
      </c>
      <c r="D52" s="232">
        <f>+F28</f>
        <v>4.2404166207050027</v>
      </c>
      <c r="E52" s="233">
        <f>+C52*D52</f>
        <v>2.7138666372512019</v>
      </c>
      <c r="F52" s="138" t="s">
        <v>0</v>
      </c>
    </row>
    <row r="53" spans="1:6" ht="17.25">
      <c r="A53" s="229" t="s">
        <v>41</v>
      </c>
      <c r="B53" s="230" t="str">
        <f>'S&amp;D'!I34</f>
        <v xml:space="preserve"> </v>
      </c>
      <c r="C53" s="230">
        <f>+'Yield CapRate'!C25</f>
        <v>0.36</v>
      </c>
      <c r="D53" s="231">
        <f>+F45</f>
        <v>0.98076768492296662</v>
      </c>
      <c r="E53" s="231">
        <f>+C53*D53</f>
        <v>0.35307636657226799</v>
      </c>
      <c r="F53" s="138" t="s">
        <v>0</v>
      </c>
    </row>
    <row r="54" spans="1:6">
      <c r="D54" s="234" t="s">
        <v>274</v>
      </c>
      <c r="E54" s="235">
        <f>+E52+E53</f>
        <v>3.0669430038234697</v>
      </c>
    </row>
    <row r="57" spans="1:6" ht="20.25">
      <c r="A57" s="29" t="s">
        <v>394</v>
      </c>
    </row>
    <row r="58" spans="1:6" ht="19.5" customHeight="1">
      <c r="A58" s="29" t="s">
        <v>381</v>
      </c>
    </row>
  </sheetData>
  <pageMargins left="0.25" right="0.25" top="0.75" bottom="0.75" header="0.3" footer="0.3"/>
  <pageSetup scale="49" orientation="landscape" r:id="rId1"/>
  <rowBreaks count="1" manualBreakCount="1">
    <brk id="32" max="6" man="1"/>
  </rowBreaks>
  <colBreaks count="1" manualBreakCount="1">
    <brk id="8" max="71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145E-BF36-4A2C-868C-9B0DC0104C72}">
  <sheetPr>
    <tabColor rgb="FF92D050"/>
  </sheetPr>
  <dimension ref="A1:L74"/>
  <sheetViews>
    <sheetView view="pageBreakPreview" topLeftCell="A27" zoomScale="70" zoomScaleNormal="80" zoomScaleSheetLayoutView="70" workbookViewId="0">
      <selection activeCell="H46" activeCellId="1" sqref="H7 H46"/>
    </sheetView>
  </sheetViews>
  <sheetFormatPr defaultRowHeight="15"/>
  <cols>
    <col min="1" max="1" width="41" customWidth="1"/>
    <col min="2" max="2" width="10.85546875" bestFit="1" customWidth="1"/>
    <col min="3" max="3" width="10.7109375" customWidth="1"/>
    <col min="4" max="4" width="28.5703125" customWidth="1"/>
    <col min="5" max="5" width="22.28515625" customWidth="1"/>
    <col min="6" max="6" width="26.5703125" customWidth="1"/>
    <col min="7" max="7" width="26.42578125" customWidth="1"/>
    <col min="8" max="8" width="23.85546875" customWidth="1"/>
    <col min="9" max="9" width="15" customWidth="1"/>
    <col min="10" max="10" width="14.140625" bestFit="1" customWidth="1"/>
    <col min="11" max="11" width="16.7109375" customWidth="1"/>
    <col min="12" max="12" width="23.140625" customWidth="1"/>
  </cols>
  <sheetData>
    <row r="1" spans="1:12" ht="26.25">
      <c r="A1" s="23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7.25">
      <c r="A2" s="24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6.5">
      <c r="A3" s="25" t="s">
        <v>475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6.5">
      <c r="A4" s="25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6.5">
      <c r="A5" s="25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6.5">
      <c r="A6" s="25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17.25" thickBot="1">
      <c r="A7" s="12"/>
      <c r="B7" s="12"/>
      <c r="C7" s="12"/>
      <c r="D7" s="12"/>
      <c r="E7" s="12"/>
      <c r="F7" s="28"/>
      <c r="G7" s="28"/>
      <c r="H7" s="504" t="s">
        <v>0</v>
      </c>
      <c r="I7" s="12"/>
      <c r="J7" s="12"/>
      <c r="K7" s="12"/>
      <c r="L7" s="12"/>
    </row>
    <row r="8" spans="1:12" ht="27" thickBot="1">
      <c r="A8" s="246" t="str">
        <f>+'S&amp;D'!A12</f>
        <v>Liquid Transportation Pipeline Carriers</v>
      </c>
      <c r="B8" s="247"/>
      <c r="C8" s="181"/>
      <c r="D8" s="12"/>
      <c r="G8" s="30" t="s">
        <v>76</v>
      </c>
      <c r="H8" s="12"/>
      <c r="I8" s="12"/>
      <c r="J8" s="12"/>
      <c r="K8" s="12"/>
      <c r="L8" s="12"/>
    </row>
    <row r="9" spans="1:12" ht="20.25">
      <c r="A9" s="29"/>
      <c r="B9" s="12"/>
      <c r="D9" s="12"/>
      <c r="E9" s="12" t="s">
        <v>0</v>
      </c>
      <c r="F9" s="12"/>
      <c r="G9" s="89" t="s">
        <v>77</v>
      </c>
      <c r="H9" s="12"/>
      <c r="I9" s="12"/>
      <c r="J9" s="12"/>
      <c r="K9" s="12"/>
      <c r="L9" s="12"/>
    </row>
    <row r="10" spans="1:12" ht="18" customHeight="1" thickBot="1">
      <c r="A10" s="39" t="s">
        <v>0</v>
      </c>
      <c r="B10" s="39" t="s">
        <v>0</v>
      </c>
      <c r="C10" s="39" t="s">
        <v>0</v>
      </c>
      <c r="D10" s="12"/>
      <c r="E10" s="12" t="s">
        <v>0</v>
      </c>
      <c r="F10" s="32" t="s">
        <v>0</v>
      </c>
      <c r="G10" s="35" t="s">
        <v>487</v>
      </c>
      <c r="H10" s="32" t="s">
        <v>0</v>
      </c>
      <c r="I10" s="39" t="s">
        <v>0</v>
      </c>
      <c r="J10" s="12"/>
      <c r="K10" s="12"/>
      <c r="L10" s="12"/>
    </row>
    <row r="11" spans="1:12" ht="18" customHeight="1">
      <c r="A11" s="39"/>
      <c r="B11" s="39"/>
      <c r="C11" s="39"/>
      <c r="D11" s="12"/>
      <c r="E11" s="12"/>
      <c r="J11" s="12"/>
      <c r="K11" s="12"/>
      <c r="L11" s="12"/>
    </row>
    <row r="12" spans="1:12" ht="18" customHeight="1">
      <c r="A12" s="39"/>
      <c r="B12" s="39"/>
      <c r="C12" s="39"/>
      <c r="D12" s="12" t="s">
        <v>0</v>
      </c>
      <c r="E12" s="12" t="s">
        <v>0</v>
      </c>
      <c r="G12" s="13" t="s">
        <v>0</v>
      </c>
      <c r="J12" s="12"/>
      <c r="K12" s="12"/>
      <c r="L12" s="12" t="s">
        <v>0</v>
      </c>
    </row>
    <row r="13" spans="1:12" ht="17.25" thickBot="1">
      <c r="A13" s="32"/>
      <c r="B13" s="32"/>
      <c r="C13" s="32"/>
      <c r="D13" s="32"/>
      <c r="E13" s="35"/>
      <c r="F13" s="32"/>
      <c r="G13" s="32"/>
      <c r="H13" s="32"/>
      <c r="I13" s="32"/>
      <c r="J13" s="28"/>
      <c r="K13" s="28"/>
      <c r="L13" s="28"/>
    </row>
    <row r="14" spans="1:12" ht="15" customHeight="1" thickBot="1">
      <c r="A14" s="32" t="s">
        <v>24</v>
      </c>
      <c r="B14" s="32" t="s">
        <v>89</v>
      </c>
      <c r="C14" s="32" t="s">
        <v>90</v>
      </c>
      <c r="D14" s="40" t="s">
        <v>91</v>
      </c>
      <c r="E14" s="32" t="s">
        <v>92</v>
      </c>
      <c r="F14" s="32" t="s">
        <v>93</v>
      </c>
      <c r="G14" s="32" t="s">
        <v>94</v>
      </c>
      <c r="H14" s="32" t="s">
        <v>95</v>
      </c>
      <c r="I14" s="32" t="s">
        <v>96</v>
      </c>
      <c r="J14" s="32" t="s">
        <v>97</v>
      </c>
      <c r="K14" s="32" t="s">
        <v>98</v>
      </c>
      <c r="L14" s="32" t="s">
        <v>106</v>
      </c>
    </row>
    <row r="15" spans="1:12" ht="16.5">
      <c r="A15" s="33" t="s">
        <v>0</v>
      </c>
      <c r="B15" s="33" t="s">
        <v>3</v>
      </c>
      <c r="C15" s="33" t="s">
        <v>78</v>
      </c>
      <c r="D15" s="33" t="s">
        <v>81</v>
      </c>
      <c r="E15" s="33" t="s">
        <v>81</v>
      </c>
      <c r="F15" s="33" t="s">
        <v>82</v>
      </c>
      <c r="G15" s="33" t="s">
        <v>85</v>
      </c>
      <c r="H15" s="33" t="s">
        <v>87</v>
      </c>
      <c r="I15" s="33" t="s">
        <v>109</v>
      </c>
      <c r="J15" s="33" t="s">
        <v>109</v>
      </c>
      <c r="K15" s="33" t="s">
        <v>102</v>
      </c>
      <c r="L15" s="33" t="s">
        <v>104</v>
      </c>
    </row>
    <row r="16" spans="1:12" ht="17.25" thickBot="1">
      <c r="A16" s="35" t="s">
        <v>2</v>
      </c>
      <c r="B16" s="35" t="s">
        <v>4</v>
      </c>
      <c r="C16" s="35" t="s">
        <v>79</v>
      </c>
      <c r="D16" s="35" t="s">
        <v>84</v>
      </c>
      <c r="E16" s="35" t="s">
        <v>83</v>
      </c>
      <c r="F16" s="35" t="s">
        <v>19</v>
      </c>
      <c r="G16" s="35" t="s">
        <v>86</v>
      </c>
      <c r="H16" s="35" t="s">
        <v>88</v>
      </c>
      <c r="I16" s="35" t="s">
        <v>0</v>
      </c>
      <c r="J16" s="35" t="s">
        <v>0</v>
      </c>
      <c r="K16" s="35" t="s">
        <v>103</v>
      </c>
      <c r="L16" s="35" t="s">
        <v>85</v>
      </c>
    </row>
    <row r="17" spans="1:12">
      <c r="A17" s="41" t="s">
        <v>7</v>
      </c>
      <c r="B17" s="41" t="s">
        <v>7</v>
      </c>
      <c r="C17" s="41" t="s">
        <v>80</v>
      </c>
      <c r="D17" s="41" t="s">
        <v>231</v>
      </c>
      <c r="E17" s="41" t="s">
        <v>231</v>
      </c>
      <c r="F17" s="41" t="s">
        <v>107</v>
      </c>
      <c r="G17" s="41" t="s">
        <v>230</v>
      </c>
      <c r="H17" s="41" t="s">
        <v>99</v>
      </c>
      <c r="I17" s="41" t="s">
        <v>100</v>
      </c>
      <c r="J17" s="41" t="s">
        <v>101</v>
      </c>
      <c r="K17" s="41" t="s">
        <v>108</v>
      </c>
      <c r="L17" s="41" t="s">
        <v>105</v>
      </c>
    </row>
    <row r="18" spans="1:12" ht="16.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6.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22.5" customHeight="1">
      <c r="A20" s="60" t="str">
        <f>+'S&amp;D'!A22</f>
        <v>Energy Transfer LP</v>
      </c>
      <c r="B20" s="89" t="str">
        <f>+'S&amp;D'!B22</f>
        <v>ET</v>
      </c>
      <c r="C20" s="63">
        <f>+'Growth &amp; Inflation Rates '!$D$56</f>
        <v>2.2800000000000001E-2</v>
      </c>
      <c r="D20" s="285">
        <v>141283000000</v>
      </c>
      <c r="E20" s="285">
        <v>129242000000</v>
      </c>
      <c r="F20" s="133">
        <f t="shared" ref="F20:F22" si="0">(D20+E20)/2</f>
        <v>135262500000</v>
      </c>
      <c r="G20" s="133">
        <v>5682000000</v>
      </c>
      <c r="H20" s="18">
        <f t="shared" ref="H20:H22" si="1">+F20/G20</f>
        <v>23.805438225976769</v>
      </c>
      <c r="I20" s="43">
        <f t="shared" ref="I20:I22" si="2">+C20*H20</f>
        <v>0.54276399155227029</v>
      </c>
      <c r="J20" s="44">
        <f t="shared" ref="J20:J22" si="3">1/(1+C20)^H20</f>
        <v>0.58469265099691559</v>
      </c>
      <c r="K20" s="134">
        <f t="shared" ref="K20:K22" si="4">(G20*I20)/(1-J20)</f>
        <v>7425789616.781127</v>
      </c>
      <c r="L20" s="135">
        <f t="shared" ref="L20:L22" si="5">+K20/G20</f>
        <v>1.3068971518446193</v>
      </c>
    </row>
    <row r="21" spans="1:12" ht="22.5" customHeight="1">
      <c r="A21" s="60" t="str">
        <f>+'S&amp;D'!A23</f>
        <v>Enterprise Products Partnership LP</v>
      </c>
      <c r="B21" s="89" t="str">
        <f>+'S&amp;D'!B23</f>
        <v>EPD</v>
      </c>
      <c r="C21" s="63">
        <f>+'Growth &amp; Inflation Rates '!$D$56</f>
        <v>2.2800000000000001E-2</v>
      </c>
      <c r="D21" s="285">
        <f>75472000000+225000000</f>
        <v>75697000000</v>
      </c>
      <c r="E21" s="285">
        <v>49062000000</v>
      </c>
      <c r="F21" s="133">
        <f t="shared" si="0"/>
        <v>62379500000</v>
      </c>
      <c r="G21" s="133">
        <v>2087000000</v>
      </c>
      <c r="H21" s="18">
        <f t="shared" si="1"/>
        <v>29.88955438428366</v>
      </c>
      <c r="I21" s="43">
        <f t="shared" si="2"/>
        <v>0.68148183996166745</v>
      </c>
      <c r="J21" s="44">
        <f t="shared" si="3"/>
        <v>0.50975296599585407</v>
      </c>
      <c r="K21" s="134">
        <f t="shared" si="4"/>
        <v>2901093737.1381879</v>
      </c>
      <c r="L21" s="135">
        <f t="shared" si="5"/>
        <v>1.3900784557442203</v>
      </c>
    </row>
    <row r="22" spans="1:12" ht="22.5" customHeight="1">
      <c r="A22" s="60" t="str">
        <f>+'S&amp;D'!A24</f>
        <v>Hess Midstream LP</v>
      </c>
      <c r="B22" s="89" t="str">
        <f>+'S&amp;D'!B24</f>
        <v>HESM</v>
      </c>
      <c r="C22" s="63">
        <f>+'Growth &amp; Inflation Rates '!$D$56</f>
        <v>2.2800000000000001E-2</v>
      </c>
      <c r="D22" s="285">
        <v>5374600000</v>
      </c>
      <c r="E22" s="285">
        <v>3325400000</v>
      </c>
      <c r="F22" s="133">
        <f t="shared" si="0"/>
        <v>4350000000</v>
      </c>
      <c r="G22" s="133">
        <v>214100000</v>
      </c>
      <c r="H22" s="18">
        <f t="shared" si="1"/>
        <v>20.317608594114901</v>
      </c>
      <c r="I22" s="43">
        <f t="shared" si="2"/>
        <v>0.46324147594581977</v>
      </c>
      <c r="J22" s="44">
        <f t="shared" si="3"/>
        <v>0.6325225255177348</v>
      </c>
      <c r="K22" s="134">
        <f t="shared" si="4"/>
        <v>269894093.88897532</v>
      </c>
      <c r="L22" s="135">
        <f t="shared" si="5"/>
        <v>1.2605982899998847</v>
      </c>
    </row>
    <row r="23" spans="1:12" ht="22.5" customHeight="1">
      <c r="A23" s="60" t="str">
        <f>+'S&amp;D'!A25</f>
        <v>MPLX, LP</v>
      </c>
      <c r="B23" s="89" t="str">
        <f>+'S&amp;D'!B25</f>
        <v>MPLX</v>
      </c>
      <c r="C23" s="63">
        <f>+'Growth &amp; Inflation Rates '!$D$56</f>
        <v>2.2800000000000001E-2</v>
      </c>
      <c r="D23" s="285">
        <v>31759000000</v>
      </c>
      <c r="E23" s="285">
        <v>19154000000</v>
      </c>
      <c r="F23" s="133">
        <f t="shared" ref="F23:F25" si="6">(D23+E23)/2</f>
        <v>25456500000</v>
      </c>
      <c r="G23" s="133">
        <v>1351000000</v>
      </c>
      <c r="H23" s="18">
        <f>+F23/G23</f>
        <v>18.842709104367135</v>
      </c>
      <c r="I23" s="43">
        <f>+C23*H23</f>
        <v>0.4296137675795707</v>
      </c>
      <c r="J23" s="44">
        <f>1/(1+C23)^H23</f>
        <v>0.65390750714792312</v>
      </c>
      <c r="K23" s="134">
        <f>(G23*I23)/(1-J23)</f>
        <v>1677032041.9751832</v>
      </c>
      <c r="L23" s="135">
        <f>+K23/G23</f>
        <v>1.24132645594018</v>
      </c>
    </row>
    <row r="24" spans="1:12" ht="22.5" customHeight="1">
      <c r="A24" s="60" t="str">
        <f>+'S&amp;D'!A26</f>
        <v>Plains All American Pipeline LP</v>
      </c>
      <c r="B24" s="89" t="str">
        <f>+'S&amp;D'!B26</f>
        <v>PAA</v>
      </c>
      <c r="C24" s="63">
        <f>+'Growth &amp; Inflation Rates '!$D$56</f>
        <v>2.2800000000000001E-2</v>
      </c>
      <c r="D24" s="285">
        <v>22536000000</v>
      </c>
      <c r="E24" s="285">
        <v>21300000000</v>
      </c>
      <c r="F24" s="133">
        <f t="shared" si="6"/>
        <v>21918000000</v>
      </c>
      <c r="G24" s="133">
        <v>953000000</v>
      </c>
      <c r="H24" s="18">
        <f t="shared" ref="H24:H25" si="7">+F24/G24</f>
        <v>22.998950682056662</v>
      </c>
      <c r="I24" s="43">
        <f t="shared" ref="I24:I25" si="8">+C24*H24</f>
        <v>0.52437607555089194</v>
      </c>
      <c r="J24" s="44">
        <f t="shared" ref="J24:J25" si="9">1/(1+C24)^H24</f>
        <v>0.59542042506165349</v>
      </c>
      <c r="K24" s="134">
        <f t="shared" ref="K24:K25" si="10">(G24*I24)/(1-J24)</f>
        <v>1235184450.6143284</v>
      </c>
      <c r="L24" s="135">
        <f t="shared" ref="L24:L25" si="11">+K24/G24</f>
        <v>1.2961012073602607</v>
      </c>
    </row>
    <row r="25" spans="1:12" ht="22.5" customHeight="1">
      <c r="A25" s="60" t="str">
        <f>+'S&amp;D'!A27</f>
        <v>Western Midstream Partners LP</v>
      </c>
      <c r="B25" s="89" t="str">
        <f>+'S&amp;D'!B27</f>
        <v>WES</v>
      </c>
      <c r="C25" s="63">
        <f>+'Growth &amp; Inflation Rates '!$D$56</f>
        <v>2.2800000000000001E-2</v>
      </c>
      <c r="D25" s="285">
        <v>17648375000</v>
      </c>
      <c r="E25" s="285">
        <v>15509910000</v>
      </c>
      <c r="F25" s="133">
        <f t="shared" si="6"/>
        <v>16579142500</v>
      </c>
      <c r="G25" s="133">
        <v>710778000</v>
      </c>
      <c r="H25" s="18">
        <f t="shared" si="7"/>
        <v>23.325345607207876</v>
      </c>
      <c r="I25" s="43">
        <f t="shared" si="8"/>
        <v>0.53181787984433959</v>
      </c>
      <c r="J25" s="44">
        <f t="shared" si="9"/>
        <v>0.59105526095073724</v>
      </c>
      <c r="K25" s="134">
        <f t="shared" si="10"/>
        <v>924341146.6273061</v>
      </c>
      <c r="L25" s="135">
        <f t="shared" si="11"/>
        <v>1.3004639235138202</v>
      </c>
    </row>
    <row r="26" spans="1:12" ht="22.5" customHeight="1" thickBot="1">
      <c r="A26" s="68"/>
      <c r="B26" s="68"/>
      <c r="C26" s="45"/>
      <c r="D26" s="45"/>
      <c r="E26" s="45"/>
      <c r="F26" s="45"/>
      <c r="G26" s="45" t="s">
        <v>0</v>
      </c>
      <c r="H26" s="45"/>
      <c r="I26" s="45" t="s">
        <v>44</v>
      </c>
      <c r="J26" s="45"/>
      <c r="K26" s="45"/>
      <c r="L26" s="45"/>
    </row>
    <row r="27" spans="1:12" ht="22.5" customHeight="1" thickTop="1">
      <c r="A27" s="12"/>
      <c r="B27" s="12"/>
      <c r="C27" s="46" t="s">
        <v>0</v>
      </c>
      <c r="D27" s="46" t="s">
        <v>0</v>
      </c>
      <c r="E27" s="33" t="s">
        <v>0</v>
      </c>
      <c r="F27" s="33"/>
      <c r="G27" s="46" t="s">
        <v>0</v>
      </c>
      <c r="H27" s="33"/>
      <c r="I27" s="46" t="s">
        <v>0</v>
      </c>
      <c r="J27" s="46" t="s">
        <v>0</v>
      </c>
      <c r="K27" s="14" t="s">
        <v>45</v>
      </c>
      <c r="L27" s="50">
        <f>MAX(L20:L25)</f>
        <v>1.3900784557442203</v>
      </c>
    </row>
    <row r="28" spans="1:12" ht="22.5" customHeight="1">
      <c r="B28" s="12"/>
      <c r="C28" s="46"/>
      <c r="D28" s="46"/>
      <c r="E28" s="33"/>
      <c r="F28" s="33"/>
      <c r="G28" s="46"/>
      <c r="H28" s="33"/>
      <c r="I28" s="46"/>
      <c r="J28" s="46"/>
      <c r="K28" s="329" t="s">
        <v>46</v>
      </c>
      <c r="L28" s="330">
        <f>MIN(L20:L25)</f>
        <v>1.24132645594018</v>
      </c>
    </row>
    <row r="29" spans="1:12" ht="22.5" customHeight="1">
      <c r="B29" s="12"/>
      <c r="C29" s="12"/>
      <c r="D29" s="12"/>
      <c r="E29" s="12"/>
      <c r="F29" s="12"/>
      <c r="G29" s="12"/>
      <c r="H29" s="12"/>
      <c r="I29" s="12"/>
      <c r="J29" s="12"/>
      <c r="K29" s="14" t="s">
        <v>18</v>
      </c>
      <c r="L29" s="52">
        <f>MEDIAN(L20:L25)</f>
        <v>1.2982825654370405</v>
      </c>
    </row>
    <row r="30" spans="1:12" ht="22.5" customHeight="1">
      <c r="A30" s="12" t="s">
        <v>0</v>
      </c>
      <c r="B30" s="12"/>
      <c r="C30" s="12"/>
      <c r="D30" s="12"/>
      <c r="E30" s="12"/>
      <c r="F30" s="12"/>
      <c r="G30" s="12"/>
      <c r="H30" s="12"/>
      <c r="I30" s="12"/>
      <c r="J30" s="12"/>
      <c r="K30" s="14" t="s">
        <v>392</v>
      </c>
      <c r="L30" s="52">
        <f>AVERAGE(L20:L25)</f>
        <v>1.2992442474004975</v>
      </c>
    </row>
    <row r="31" spans="1:12" ht="22.5" customHeight="1" thickBot="1">
      <c r="A31" s="12"/>
      <c r="B31" s="12"/>
      <c r="C31" s="12"/>
      <c r="D31" s="12"/>
      <c r="E31" s="12"/>
      <c r="F31" s="12"/>
      <c r="G31" s="12" t="s">
        <v>0</v>
      </c>
      <c r="H31" s="12"/>
      <c r="I31" s="12"/>
      <c r="J31" s="12"/>
      <c r="K31" s="12"/>
      <c r="L31" s="12"/>
    </row>
    <row r="32" spans="1:12" ht="22.5" customHeight="1" thickBo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87" t="s">
        <v>198</v>
      </c>
      <c r="L32" s="378">
        <v>1.2991999999999999</v>
      </c>
    </row>
    <row r="33" spans="1:12" ht="16.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6.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6.5">
      <c r="A35" s="12" t="s">
        <v>72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6.5">
      <c r="A36" s="12" t="s">
        <v>242</v>
      </c>
    </row>
    <row r="37" spans="1:12" ht="16.5">
      <c r="A37" s="12"/>
    </row>
    <row r="38" spans="1:12" ht="16.5">
      <c r="A38" s="12" t="s">
        <v>380</v>
      </c>
    </row>
    <row r="39" spans="1:12" ht="20.25">
      <c r="A39" s="218"/>
      <c r="B39" s="218"/>
      <c r="C39" s="218"/>
      <c r="D39" s="218"/>
      <c r="E39" s="218"/>
      <c r="F39" s="218"/>
      <c r="G39" s="218"/>
      <c r="H39" s="218"/>
      <c r="I39" s="218"/>
      <c r="J39" s="218"/>
      <c r="K39" s="218"/>
      <c r="L39" s="218"/>
    </row>
    <row r="40" spans="1:12" ht="26.25">
      <c r="A40" s="23" t="s">
        <v>1</v>
      </c>
      <c r="B40" s="12"/>
      <c r="C40" s="12"/>
      <c r="D40" s="12"/>
      <c r="E40" s="12"/>
      <c r="F40" s="12"/>
      <c r="G40" s="12"/>
      <c r="H40" s="12"/>
      <c r="I40" s="12"/>
      <c r="J40" s="12"/>
      <c r="K40" s="218"/>
      <c r="L40" s="218"/>
    </row>
    <row r="41" spans="1:12" ht="20.25">
      <c r="A41" s="24" t="s">
        <v>9</v>
      </c>
      <c r="B41" s="12"/>
      <c r="C41" s="12"/>
      <c r="D41" s="12"/>
      <c r="E41" s="12"/>
      <c r="F41" s="12"/>
      <c r="G41" s="12"/>
      <c r="H41" s="12"/>
      <c r="I41" s="12"/>
      <c r="J41" s="12"/>
      <c r="K41" s="218"/>
      <c r="L41" s="218"/>
    </row>
    <row r="42" spans="1:12" ht="20.25">
      <c r="A42" s="25" t="s">
        <v>475</v>
      </c>
      <c r="B42" s="12"/>
      <c r="C42" s="12"/>
      <c r="D42" s="12"/>
      <c r="E42" s="12"/>
      <c r="F42" s="12"/>
      <c r="G42" s="12"/>
      <c r="H42" s="12"/>
      <c r="I42" s="12"/>
      <c r="J42" s="12"/>
      <c r="K42" s="218"/>
      <c r="L42" s="218"/>
    </row>
    <row r="43" spans="1:12" ht="20.25">
      <c r="A43" s="25"/>
      <c r="B43" s="12"/>
      <c r="C43" s="12"/>
      <c r="D43" s="12"/>
      <c r="E43" s="12"/>
      <c r="F43" s="12"/>
      <c r="G43" s="12"/>
      <c r="H43" s="12"/>
      <c r="I43" s="12"/>
      <c r="J43" s="12"/>
      <c r="K43" s="218"/>
      <c r="L43" s="218"/>
    </row>
    <row r="44" spans="1:12" ht="20.25">
      <c r="A44" s="25"/>
      <c r="B44" s="12"/>
      <c r="C44" s="12"/>
      <c r="D44" s="12"/>
      <c r="E44" s="12"/>
      <c r="F44" s="12"/>
      <c r="G44" s="12"/>
      <c r="H44" s="12"/>
      <c r="I44" s="12"/>
      <c r="J44" s="12"/>
      <c r="K44" s="218"/>
      <c r="L44" s="218"/>
    </row>
    <row r="45" spans="1:12" ht="20.25">
      <c r="A45" s="25"/>
      <c r="B45" s="12"/>
      <c r="C45" s="12"/>
      <c r="D45" s="12"/>
      <c r="E45" s="12"/>
      <c r="F45" s="12"/>
      <c r="G45" s="12"/>
      <c r="H45" s="12"/>
      <c r="I45" s="12"/>
      <c r="J45" s="12"/>
      <c r="K45" s="218"/>
      <c r="L45" s="218"/>
    </row>
    <row r="46" spans="1:12" ht="21" thickBot="1">
      <c r="B46" s="12"/>
      <c r="C46" s="12"/>
      <c r="D46" s="12"/>
      <c r="E46" s="12"/>
      <c r="F46" s="28"/>
      <c r="G46" s="28"/>
      <c r="H46" s="504" t="s">
        <v>0</v>
      </c>
      <c r="I46" s="12"/>
      <c r="J46" s="12"/>
      <c r="K46" s="218"/>
      <c r="L46" s="218"/>
    </row>
    <row r="47" spans="1:12" ht="26.25">
      <c r="B47" s="12"/>
      <c r="C47" s="12"/>
      <c r="D47" s="12"/>
      <c r="E47" s="12"/>
      <c r="F47" s="12"/>
      <c r="G47" s="30" t="s">
        <v>264</v>
      </c>
      <c r="H47" s="12"/>
      <c r="I47" s="12"/>
      <c r="J47" s="12"/>
      <c r="K47" s="218"/>
      <c r="L47" s="218"/>
    </row>
    <row r="48" spans="1:12" ht="21" thickBot="1">
      <c r="B48" s="39" t="s">
        <v>0</v>
      </c>
      <c r="C48" s="39" t="s">
        <v>0</v>
      </c>
      <c r="D48" s="12"/>
      <c r="E48" s="12"/>
      <c r="F48" s="32" t="s">
        <v>0</v>
      </c>
      <c r="G48" s="35" t="s">
        <v>487</v>
      </c>
      <c r="H48" s="32" t="s">
        <v>0</v>
      </c>
      <c r="I48" s="39" t="s">
        <v>0</v>
      </c>
      <c r="J48" s="12"/>
      <c r="K48" s="218"/>
      <c r="L48" s="218"/>
    </row>
    <row r="49" spans="1:12" ht="20.25">
      <c r="A49" s="218"/>
      <c r="B49" s="218"/>
      <c r="C49" s="218"/>
      <c r="D49" s="218"/>
      <c r="E49" s="218"/>
      <c r="F49" s="218"/>
      <c r="G49" s="218"/>
      <c r="H49" s="218"/>
      <c r="I49" s="218"/>
      <c r="J49" s="218"/>
      <c r="K49" s="218"/>
      <c r="L49" s="218"/>
    </row>
    <row r="50" spans="1:12" ht="20.25">
      <c r="A50" s="218"/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</row>
    <row r="51" spans="1:12" ht="20.25">
      <c r="A51" s="218"/>
      <c r="B51" s="218"/>
      <c r="C51" s="218"/>
      <c r="D51" s="218"/>
      <c r="E51" s="218"/>
      <c r="F51" s="218"/>
      <c r="G51" s="218"/>
      <c r="H51" s="218"/>
      <c r="I51" s="218"/>
      <c r="J51" s="218"/>
      <c r="K51" s="218"/>
      <c r="L51" s="218"/>
    </row>
    <row r="52" spans="1:12" ht="16.5">
      <c r="A52" s="39"/>
      <c r="B52" s="39"/>
      <c r="C52" s="39"/>
      <c r="D52" s="12"/>
      <c r="E52" s="12"/>
      <c r="J52" s="12"/>
      <c r="K52" s="12"/>
      <c r="L52" s="12"/>
    </row>
    <row r="53" spans="1:12" ht="31.5">
      <c r="A53" s="212" t="s">
        <v>253</v>
      </c>
      <c r="B53" s="39"/>
      <c r="C53" s="214" t="s">
        <v>258</v>
      </c>
      <c r="D53" s="12"/>
      <c r="E53" s="12"/>
      <c r="J53" s="12"/>
      <c r="K53" s="12"/>
      <c r="L53" s="12"/>
    </row>
    <row r="54" spans="1:12" ht="31.5">
      <c r="A54" s="212" t="s">
        <v>257</v>
      </c>
      <c r="B54" s="39"/>
      <c r="C54" s="214" t="s">
        <v>263</v>
      </c>
      <c r="D54" s="12"/>
      <c r="E54" s="12"/>
      <c r="J54" s="12"/>
      <c r="K54" s="12"/>
      <c r="L54" s="12"/>
    </row>
    <row r="55" spans="1:12" ht="17.25">
      <c r="A55" s="213" t="s">
        <v>254</v>
      </c>
      <c r="B55" s="39"/>
      <c r="C55" s="39"/>
      <c r="D55" s="12"/>
      <c r="E55" s="12"/>
      <c r="J55" s="12"/>
      <c r="K55" s="12"/>
      <c r="L55" s="12"/>
    </row>
    <row r="56" spans="1:12" ht="17.25">
      <c r="A56" s="213" t="s">
        <v>255</v>
      </c>
      <c r="B56" s="39"/>
      <c r="C56" s="39"/>
      <c r="D56" s="12"/>
      <c r="E56" s="12"/>
      <c r="J56" s="12"/>
      <c r="K56" s="12"/>
      <c r="L56" s="12"/>
    </row>
    <row r="57" spans="1:12" ht="17.25">
      <c r="A57" s="213" t="s">
        <v>256</v>
      </c>
      <c r="B57" s="39"/>
      <c r="C57" s="39"/>
      <c r="D57" s="12"/>
      <c r="E57" s="12"/>
      <c r="J57" s="12"/>
      <c r="K57" s="12"/>
      <c r="L57" s="12"/>
    </row>
    <row r="63" spans="1:12" ht="31.5">
      <c r="A63" s="215" t="s">
        <v>262</v>
      </c>
      <c r="B63" s="106"/>
      <c r="C63" s="106"/>
      <c r="D63" s="106"/>
      <c r="E63" s="106"/>
      <c r="F63" s="106"/>
      <c r="G63" s="12"/>
      <c r="H63" s="12"/>
      <c r="I63" s="12"/>
    </row>
    <row r="64" spans="1:12" ht="17.25">
      <c r="A64" s="106"/>
      <c r="B64" s="106"/>
      <c r="C64" s="106"/>
      <c r="D64" s="106"/>
      <c r="E64" s="106"/>
      <c r="F64" s="106"/>
      <c r="G64" s="12"/>
      <c r="H64" s="12"/>
      <c r="I64" s="12"/>
    </row>
    <row r="65" spans="1:9" ht="18" thickBot="1">
      <c r="A65" s="216" t="s">
        <v>259</v>
      </c>
      <c r="B65" s="107"/>
      <c r="C65" s="107"/>
      <c r="D65" s="217" t="s">
        <v>261</v>
      </c>
      <c r="E65" s="107"/>
      <c r="F65" s="106"/>
      <c r="G65" s="12"/>
      <c r="H65" s="12"/>
      <c r="I65" s="12"/>
    </row>
    <row r="66" spans="1:9" ht="17.25">
      <c r="A66" s="106"/>
      <c r="B66" s="106"/>
      <c r="C66" s="106"/>
      <c r="D66" s="106" t="s">
        <v>260</v>
      </c>
      <c r="E66" s="106"/>
      <c r="F66" s="106"/>
      <c r="G66" s="12"/>
      <c r="H66" s="12"/>
      <c r="I66" s="12"/>
    </row>
    <row r="67" spans="1:9" ht="17.25">
      <c r="A67" s="106"/>
      <c r="B67" s="106"/>
      <c r="C67" s="106"/>
      <c r="D67" s="106"/>
      <c r="E67" s="106"/>
      <c r="F67" s="106"/>
      <c r="G67" s="12"/>
      <c r="H67" s="12"/>
      <c r="I67" s="12"/>
    </row>
    <row r="68" spans="1:9" ht="16.5">
      <c r="A68" s="12"/>
      <c r="B68" s="12"/>
      <c r="C68" s="12"/>
      <c r="D68" s="12"/>
      <c r="E68" s="12"/>
      <c r="F68" s="12"/>
      <c r="G68" s="12"/>
      <c r="H68" s="12"/>
      <c r="I68" s="12"/>
    </row>
    <row r="69" spans="1:9" ht="16.5">
      <c r="A69" s="12"/>
      <c r="B69" s="12"/>
      <c r="C69" s="12"/>
      <c r="D69" s="12"/>
      <c r="E69" s="12"/>
      <c r="F69" s="12"/>
      <c r="G69" s="12"/>
      <c r="H69" s="12"/>
      <c r="I69" s="12"/>
    </row>
    <row r="70" spans="1:9" ht="16.5">
      <c r="A70" s="12"/>
      <c r="B70" s="12"/>
      <c r="C70" s="12"/>
      <c r="D70" s="12"/>
      <c r="E70" s="12"/>
      <c r="F70" s="12"/>
      <c r="G70" s="12"/>
      <c r="H70" s="12"/>
      <c r="I70" s="12"/>
    </row>
    <row r="71" spans="1:9" ht="16.5">
      <c r="A71" s="12"/>
      <c r="B71" s="12"/>
      <c r="C71" s="12"/>
      <c r="D71" s="12"/>
      <c r="E71" s="12"/>
      <c r="F71" s="12"/>
      <c r="G71" s="12"/>
      <c r="H71" s="12"/>
      <c r="I71" s="12"/>
    </row>
    <row r="72" spans="1:9" ht="16.5">
      <c r="A72" s="12"/>
      <c r="B72" s="12"/>
      <c r="C72" s="12"/>
      <c r="D72" s="12"/>
      <c r="E72" s="12"/>
      <c r="F72" s="12"/>
      <c r="G72" s="12"/>
      <c r="H72" s="12"/>
      <c r="I72" s="12"/>
    </row>
    <row r="73" spans="1:9" ht="16.5">
      <c r="A73" s="12" t="s">
        <v>0</v>
      </c>
      <c r="B73" s="12"/>
      <c r="C73" s="12"/>
      <c r="D73" s="12"/>
      <c r="E73" s="12"/>
      <c r="F73" s="12"/>
      <c r="G73" s="12"/>
      <c r="H73" s="12"/>
      <c r="I73" s="12"/>
    </row>
    <row r="74" spans="1:9" ht="16.5">
      <c r="A74" s="12"/>
      <c r="B74" s="12"/>
      <c r="C74" s="12"/>
      <c r="D74" s="12"/>
      <c r="E74" s="12"/>
      <c r="F74" s="12"/>
      <c r="G74" s="12"/>
      <c r="H74" s="12"/>
      <c r="I74" s="12"/>
    </row>
  </sheetData>
  <pageMargins left="0.25" right="0.25" top="0.75" bottom="0.75" header="0.3" footer="0.3"/>
  <pageSetup scale="51" orientation="landscape" r:id="rId1"/>
  <rowBreaks count="1" manualBreakCount="1">
    <brk id="38" max="11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19DCF-8362-451B-93E3-8D44BC877730}">
  <sheetPr>
    <tabColor rgb="FF92D050"/>
  </sheetPr>
  <dimension ref="A1:H33"/>
  <sheetViews>
    <sheetView view="pageBreakPreview" zoomScale="60" zoomScaleNormal="80" workbookViewId="0">
      <selection activeCell="E20" activeCellId="1" sqref="D18 E20:F20"/>
    </sheetView>
  </sheetViews>
  <sheetFormatPr defaultRowHeight="15"/>
  <cols>
    <col min="1" max="1" width="45.140625" customWidth="1"/>
    <col min="2" max="2" width="17" customWidth="1"/>
    <col min="3" max="3" width="24.140625" customWidth="1"/>
    <col min="4" max="4" width="21.85546875" customWidth="1"/>
    <col min="5" max="5" width="27.42578125" customWidth="1"/>
    <col min="6" max="6" width="26.7109375" customWidth="1"/>
    <col min="7" max="7" width="21.28515625" customWidth="1"/>
    <col min="8" max="8" width="32.5703125" customWidth="1"/>
    <col min="9" max="9" width="14.140625" bestFit="1" customWidth="1"/>
    <col min="11" max="11" width="10.5703125" customWidth="1"/>
  </cols>
  <sheetData>
    <row r="1" spans="1:8" ht="26.25">
      <c r="A1" s="23" t="s">
        <v>1</v>
      </c>
      <c r="B1" s="12"/>
      <c r="C1" s="12"/>
      <c r="D1" s="12"/>
      <c r="E1" s="12"/>
      <c r="F1" s="12"/>
      <c r="G1" s="12"/>
      <c r="H1" s="12"/>
    </row>
    <row r="2" spans="1:8" ht="17.25">
      <c r="A2" s="24" t="s">
        <v>9</v>
      </c>
      <c r="B2" s="12"/>
      <c r="C2" s="12"/>
      <c r="D2" s="12"/>
      <c r="E2" s="12"/>
      <c r="F2" s="12"/>
      <c r="G2" s="12"/>
      <c r="H2" s="12"/>
    </row>
    <row r="3" spans="1:8" ht="16.5">
      <c r="A3" s="25" t="s">
        <v>475</v>
      </c>
      <c r="B3" s="12"/>
      <c r="C3" s="12"/>
      <c r="D3" s="12"/>
      <c r="E3" s="12"/>
      <c r="F3" s="12"/>
      <c r="G3" s="12"/>
      <c r="H3" s="12"/>
    </row>
    <row r="4" spans="1:8" ht="16.5">
      <c r="A4" s="25"/>
      <c r="B4" s="12"/>
      <c r="C4" s="12"/>
      <c r="D4" s="12"/>
      <c r="E4" s="12"/>
      <c r="F4" s="12"/>
      <c r="G4" s="12"/>
      <c r="H4" s="12"/>
    </row>
    <row r="5" spans="1:8" ht="16.5">
      <c r="A5" s="25"/>
      <c r="B5" s="12"/>
      <c r="C5" s="12"/>
      <c r="D5" s="12"/>
      <c r="E5" s="12"/>
      <c r="F5" s="12"/>
      <c r="G5" s="12"/>
      <c r="H5" s="12"/>
    </row>
    <row r="6" spans="1:8" ht="16.5">
      <c r="A6" s="25"/>
      <c r="B6" s="12"/>
      <c r="C6" s="12"/>
      <c r="D6" s="12"/>
      <c r="E6" s="12"/>
      <c r="F6" s="12"/>
      <c r="G6" s="12"/>
      <c r="H6" s="12"/>
    </row>
    <row r="7" spans="1:8" ht="17.25" thickBot="1">
      <c r="A7" s="12"/>
      <c r="B7" s="12"/>
      <c r="C7" s="12"/>
      <c r="H7" s="12"/>
    </row>
    <row r="8" spans="1:8" ht="21" thickBot="1">
      <c r="A8" s="246" t="str">
        <f>+'S&amp;D'!A12</f>
        <v>Liquid Transportation Pipeline Carriers</v>
      </c>
      <c r="B8" s="181"/>
      <c r="C8" s="12"/>
      <c r="D8" s="28"/>
      <c r="E8" s="28" t="s">
        <v>0</v>
      </c>
      <c r="F8" s="28" t="s">
        <v>0</v>
      </c>
      <c r="H8" s="12"/>
    </row>
    <row r="9" spans="1:8" ht="26.25">
      <c r="A9" s="29"/>
      <c r="B9" s="12"/>
      <c r="D9" s="12"/>
      <c r="E9" s="30" t="s">
        <v>429</v>
      </c>
      <c r="F9" s="30"/>
      <c r="H9" s="12"/>
    </row>
    <row r="10" spans="1:8" ht="21" thickBot="1">
      <c r="A10" s="29"/>
      <c r="B10" s="12"/>
      <c r="C10" s="12"/>
      <c r="D10" s="28"/>
      <c r="E10" s="35" t="s">
        <v>487</v>
      </c>
      <c r="F10" s="35"/>
      <c r="H10" s="12"/>
    </row>
    <row r="11" spans="1:8" ht="20.25">
      <c r="A11" s="29"/>
      <c r="B11" s="12"/>
      <c r="H11" s="12"/>
    </row>
    <row r="12" spans="1:8" ht="17.25" thickBot="1">
      <c r="A12" s="32" t="s">
        <v>0</v>
      </c>
      <c r="B12" s="32" t="s">
        <v>0</v>
      </c>
      <c r="C12" s="32" t="s">
        <v>0</v>
      </c>
      <c r="D12" s="32" t="s">
        <v>0</v>
      </c>
      <c r="E12" s="32" t="s">
        <v>0</v>
      </c>
      <c r="F12" s="32"/>
      <c r="G12" s="32"/>
      <c r="H12" s="28"/>
    </row>
    <row r="13" spans="1:8" ht="17.25">
      <c r="A13" s="89" t="s">
        <v>0</v>
      </c>
      <c r="B13" s="89" t="s">
        <v>3</v>
      </c>
      <c r="C13" s="89" t="s">
        <v>5</v>
      </c>
      <c r="D13" s="89" t="s">
        <v>21</v>
      </c>
      <c r="E13" s="170" t="s">
        <v>217</v>
      </c>
      <c r="F13" s="170" t="s">
        <v>305</v>
      </c>
      <c r="G13" s="89" t="s">
        <v>20</v>
      </c>
      <c r="H13" s="89" t="s">
        <v>138</v>
      </c>
    </row>
    <row r="14" spans="1:8" ht="18" thickBot="1">
      <c r="A14" s="96" t="s">
        <v>2</v>
      </c>
      <c r="B14" s="96" t="s">
        <v>4</v>
      </c>
      <c r="C14" s="96" t="s">
        <v>6</v>
      </c>
      <c r="D14" s="96" t="s">
        <v>23</v>
      </c>
      <c r="E14" s="96" t="s">
        <v>306</v>
      </c>
      <c r="F14" s="96" t="s">
        <v>180</v>
      </c>
      <c r="G14" s="96" t="s">
        <v>22</v>
      </c>
      <c r="H14" s="96" t="s">
        <v>116</v>
      </c>
    </row>
    <row r="15" spans="1:8">
      <c r="A15" s="37" t="s">
        <v>7</v>
      </c>
      <c r="B15" s="37" t="s">
        <v>7</v>
      </c>
      <c r="C15" s="37" t="s">
        <v>7</v>
      </c>
      <c r="D15" s="37" t="s">
        <v>7</v>
      </c>
      <c r="E15" s="208" t="s">
        <v>470</v>
      </c>
      <c r="F15" s="208" t="s">
        <v>470</v>
      </c>
      <c r="G15" s="37" t="s">
        <v>7</v>
      </c>
      <c r="H15" s="208" t="s">
        <v>470</v>
      </c>
    </row>
    <row r="16" spans="1:8" ht="17.25" thickBot="1">
      <c r="A16" s="33"/>
      <c r="B16" s="33"/>
      <c r="C16" s="33"/>
      <c r="D16" s="33"/>
      <c r="G16" s="33"/>
      <c r="H16" s="33"/>
    </row>
    <row r="17" spans="1:8" ht="16.5">
      <c r="A17" s="150"/>
      <c r="B17" s="111"/>
      <c r="C17" s="111"/>
      <c r="D17" s="111"/>
      <c r="E17" s="296"/>
      <c r="F17" s="296"/>
      <c r="G17" s="111"/>
      <c r="H17" s="151"/>
    </row>
    <row r="18" spans="1:8" ht="20.25" customHeight="1">
      <c r="A18" s="102" t="str">
        <f>+'S&amp;D'!A22</f>
        <v>Energy Transfer LP</v>
      </c>
      <c r="B18" s="89" t="str">
        <f>+'S&amp;D'!B22</f>
        <v>ET</v>
      </c>
      <c r="C18" s="89" t="str">
        <f>+'S&amp;D'!C22</f>
        <v>Pipeline MLPs</v>
      </c>
      <c r="D18" s="505">
        <v>0.08</v>
      </c>
      <c r="E18" s="243">
        <v>0.14000000000000001</v>
      </c>
      <c r="F18" s="243">
        <v>0.5</v>
      </c>
      <c r="G18" s="89" t="s">
        <v>503</v>
      </c>
      <c r="H18" s="289">
        <v>1.05</v>
      </c>
    </row>
    <row r="19" spans="1:8" ht="20.25" customHeight="1">
      <c r="A19" s="102" t="str">
        <f>+'S&amp;D'!A23</f>
        <v>Enterprise Products Partnership LP</v>
      </c>
      <c r="B19" s="89" t="str">
        <f>+'S&amp;D'!B23</f>
        <v>EPD</v>
      </c>
      <c r="C19" s="89" t="str">
        <f>+'S&amp;D'!C23</f>
        <v>Pipeline MLPs</v>
      </c>
      <c r="D19" s="297">
        <v>1.4999999999999999E-2</v>
      </c>
      <c r="E19" s="243">
        <v>0.2</v>
      </c>
      <c r="F19" s="243">
        <v>0.04</v>
      </c>
      <c r="G19" s="89" t="s">
        <v>24</v>
      </c>
      <c r="H19" s="289">
        <v>0.85</v>
      </c>
    </row>
    <row r="20" spans="1:8" ht="20.25" customHeight="1">
      <c r="A20" s="102" t="str">
        <f>+'S&amp;D'!A24</f>
        <v>Hess Midstream LP</v>
      </c>
      <c r="B20" s="89" t="str">
        <f>+'S&amp;D'!B24</f>
        <v>HESM</v>
      </c>
      <c r="C20" s="89" t="str">
        <f>+'S&amp;D'!C24</f>
        <v>Pipeline MLPs</v>
      </c>
      <c r="D20" s="297">
        <v>0.05</v>
      </c>
      <c r="E20" s="505" t="s">
        <v>493</v>
      </c>
      <c r="F20" s="505" t="s">
        <v>493</v>
      </c>
      <c r="G20" s="89" t="s">
        <v>25</v>
      </c>
      <c r="H20" s="289">
        <v>0.95</v>
      </c>
    </row>
    <row r="21" spans="1:8" ht="20.25" customHeight="1">
      <c r="A21" s="102" t="str">
        <f>+'S&amp;D'!A25</f>
        <v>MPLX, LP</v>
      </c>
      <c r="B21" s="89" t="str">
        <f>+'S&amp;D'!B25</f>
        <v>MPLX</v>
      </c>
      <c r="C21" s="89" t="str">
        <f>+'S&amp;D'!C25</f>
        <v>Pipeline MLPs</v>
      </c>
      <c r="D21" s="119">
        <v>0.03</v>
      </c>
      <c r="E21" s="243">
        <v>0.34499999999999997</v>
      </c>
      <c r="F21" s="243">
        <v>7.0000000000000007E-2</v>
      </c>
      <c r="G21" s="89" t="s">
        <v>503</v>
      </c>
      <c r="H21" s="289">
        <v>0.9</v>
      </c>
    </row>
    <row r="22" spans="1:8" ht="20.25" customHeight="1">
      <c r="A22" s="102" t="str">
        <f>+'S&amp;D'!A26</f>
        <v>Plains All American Pipeline LP</v>
      </c>
      <c r="B22" s="89" t="str">
        <f>+'S&amp;D'!B26</f>
        <v>PAA</v>
      </c>
      <c r="C22" s="89" t="str">
        <f>+'S&amp;D'!C26</f>
        <v>Pipeline MLPs</v>
      </c>
      <c r="D22" s="119">
        <v>0.03</v>
      </c>
      <c r="E22" s="243">
        <v>0.13500000000000001</v>
      </c>
      <c r="F22" s="243" t="s">
        <v>493</v>
      </c>
      <c r="G22" s="89" t="s">
        <v>503</v>
      </c>
      <c r="H22" s="289">
        <v>1.1000000000000001</v>
      </c>
    </row>
    <row r="23" spans="1:8" ht="20.25" customHeight="1" thickBot="1">
      <c r="A23" s="381" t="str">
        <f>+'S&amp;D'!A27</f>
        <v>Western Midstream Partners LP</v>
      </c>
      <c r="B23" s="382" t="str">
        <f>+'S&amp;D'!B27</f>
        <v>WES</v>
      </c>
      <c r="C23" s="382" t="str">
        <f>+'S&amp;D'!C27</f>
        <v>Pipeline MLPs</v>
      </c>
      <c r="D23" s="383">
        <v>0.01</v>
      </c>
      <c r="E23" s="384">
        <v>0.44</v>
      </c>
      <c r="F23" s="384" t="s">
        <v>493</v>
      </c>
      <c r="G23" s="382" t="s">
        <v>503</v>
      </c>
      <c r="H23" s="325">
        <v>1.1499999999999999</v>
      </c>
    </row>
    <row r="24" spans="1:8" ht="20.25" customHeight="1" thickTop="1">
      <c r="A24" s="106"/>
      <c r="B24" s="106"/>
      <c r="C24" s="4"/>
      <c r="D24" s="165" t="s">
        <v>0</v>
      </c>
      <c r="E24" s="4"/>
      <c r="F24" s="4"/>
      <c r="G24" s="123" t="s">
        <v>45</v>
      </c>
      <c r="H24" s="166">
        <f>+MAX(H18:H23)</f>
        <v>1.1499999999999999</v>
      </c>
    </row>
    <row r="25" spans="1:8" ht="20.25" customHeight="1">
      <c r="A25" s="106"/>
      <c r="B25" s="106"/>
      <c r="C25" s="4"/>
      <c r="D25" s="165" t="s">
        <v>0</v>
      </c>
      <c r="E25" s="4"/>
      <c r="F25" s="4"/>
      <c r="G25" s="123" t="s">
        <v>46</v>
      </c>
      <c r="H25" s="328">
        <f>MIN(H18:H23)</f>
        <v>0.85</v>
      </c>
    </row>
    <row r="26" spans="1:8" ht="20.25" customHeight="1">
      <c r="A26" s="106"/>
      <c r="B26" s="106"/>
      <c r="C26" s="4"/>
      <c r="D26" s="167" t="s">
        <v>0</v>
      </c>
      <c r="E26" s="4"/>
      <c r="F26" s="4"/>
      <c r="G26" s="123" t="s">
        <v>18</v>
      </c>
      <c r="H26" s="168">
        <f>MEDIAN(H18:H23)</f>
        <v>1</v>
      </c>
    </row>
    <row r="27" spans="1:8" ht="20.25" customHeight="1">
      <c r="A27" s="106"/>
      <c r="B27" s="106"/>
      <c r="C27" s="4"/>
      <c r="D27" s="126" t="s">
        <v>0</v>
      </c>
      <c r="E27" s="4"/>
      <c r="F27" s="4"/>
      <c r="G27" s="123" t="s">
        <v>392</v>
      </c>
      <c r="H27" s="169">
        <f>AVERAGE(H18:H23)</f>
        <v>1</v>
      </c>
    </row>
    <row r="28" spans="1:8" ht="20.25" customHeight="1" thickBot="1">
      <c r="A28" s="12"/>
      <c r="B28" s="12"/>
      <c r="C28" s="12"/>
      <c r="D28" s="12" t="s">
        <v>0</v>
      </c>
      <c r="G28" s="12"/>
      <c r="H28" s="12"/>
    </row>
    <row r="29" spans="1:8" ht="20.25" customHeight="1" thickBot="1">
      <c r="A29" s="12"/>
      <c r="B29" s="12"/>
      <c r="C29" s="12"/>
      <c r="D29" s="12"/>
      <c r="G29" s="187" t="s">
        <v>74</v>
      </c>
      <c r="H29" s="295">
        <v>1</v>
      </c>
    </row>
    <row r="30" spans="1:8" ht="20.25" customHeight="1">
      <c r="A30" s="12"/>
      <c r="B30" s="12"/>
      <c r="C30" s="12"/>
      <c r="D30" s="12"/>
      <c r="G30" s="12"/>
      <c r="H30" s="267"/>
    </row>
    <row r="31" spans="1:8" ht="20.25" customHeight="1">
      <c r="A31" s="12"/>
      <c r="B31" s="12"/>
      <c r="C31" s="12"/>
      <c r="D31" s="12"/>
      <c r="G31" s="12"/>
      <c r="H31" s="267"/>
    </row>
    <row r="32" spans="1:8" ht="17.25">
      <c r="A32" s="106" t="s">
        <v>308</v>
      </c>
    </row>
    <row r="33" spans="1:1" ht="17.25">
      <c r="A33" s="106" t="s">
        <v>307</v>
      </c>
    </row>
  </sheetData>
  <pageMargins left="0.25" right="0.25" top="0.75" bottom="0.75" header="0.3" footer="0.3"/>
  <pageSetup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F0854-9225-4685-BC0B-402957CF1047}">
  <sheetPr>
    <tabColor rgb="FF92D050"/>
  </sheetPr>
  <dimension ref="A1:K29"/>
  <sheetViews>
    <sheetView view="pageBreakPreview" topLeftCell="A3" zoomScale="60" zoomScaleNormal="80" workbookViewId="0">
      <selection activeCell="F6" sqref="F6"/>
    </sheetView>
  </sheetViews>
  <sheetFormatPr defaultRowHeight="15"/>
  <cols>
    <col min="1" max="1" width="50.42578125" customWidth="1"/>
    <col min="2" max="2" width="10.85546875" bestFit="1" customWidth="1"/>
    <col min="3" max="3" width="19.140625" bestFit="1" customWidth="1"/>
    <col min="4" max="4" width="15.28515625" customWidth="1"/>
    <col min="5" max="5" width="24.140625" customWidth="1"/>
    <col min="6" max="6" width="20" customWidth="1"/>
    <col min="7" max="7" width="16.5703125" customWidth="1"/>
    <col min="8" max="8" width="19.140625" customWidth="1"/>
    <col min="9" max="10" width="20.140625" customWidth="1"/>
    <col min="11" max="11" width="17.7109375" customWidth="1"/>
    <col min="12" max="12" width="23.7109375" customWidth="1"/>
  </cols>
  <sheetData>
    <row r="1" spans="1:11" ht="26.25">
      <c r="A1" s="23" t="s">
        <v>1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17.25">
      <c r="A2" s="24" t="s">
        <v>9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ht="16.5">
      <c r="A3" s="25" t="s">
        <v>475</v>
      </c>
      <c r="B3" s="12"/>
      <c r="C3" s="12"/>
      <c r="D3" s="12"/>
      <c r="E3" s="12"/>
      <c r="F3" s="12"/>
      <c r="G3" s="12"/>
      <c r="H3" s="12"/>
      <c r="I3" s="12"/>
      <c r="J3" s="12"/>
    </row>
    <row r="4" spans="1:11" ht="16.5">
      <c r="A4" s="25"/>
      <c r="B4" s="12"/>
      <c r="C4" s="12"/>
      <c r="D4" s="12"/>
      <c r="E4" s="12"/>
      <c r="F4" s="12"/>
      <c r="G4" s="12"/>
      <c r="H4" s="12"/>
      <c r="I4" s="12"/>
      <c r="J4" s="12"/>
    </row>
    <row r="5" spans="1:11" ht="17.25" thickBot="1">
      <c r="A5" s="12"/>
      <c r="B5" s="12"/>
      <c r="C5" s="12"/>
      <c r="D5" s="12"/>
      <c r="E5" s="12"/>
      <c r="F5" s="12"/>
      <c r="G5" s="26"/>
      <c r="H5" s="12"/>
      <c r="I5" s="12"/>
      <c r="J5" s="12"/>
    </row>
    <row r="6" spans="1:11" ht="21" thickBot="1">
      <c r="A6" s="246" t="str">
        <f>+'S&amp;D'!A12</f>
        <v>Liquid Transportation Pipeline Carriers</v>
      </c>
      <c r="B6" s="181"/>
      <c r="C6" s="12"/>
      <c r="D6" s="28"/>
      <c r="E6" s="28"/>
      <c r="F6" s="504" t="s">
        <v>0</v>
      </c>
      <c r="G6" s="12"/>
      <c r="H6" s="12"/>
      <c r="I6" s="12"/>
      <c r="J6" s="12"/>
    </row>
    <row r="7" spans="1:11" ht="26.25">
      <c r="A7" s="29"/>
      <c r="B7" s="12"/>
      <c r="C7" s="12"/>
      <c r="D7" s="12"/>
      <c r="E7" s="30" t="s">
        <v>161</v>
      </c>
      <c r="F7" s="12"/>
      <c r="G7" s="12"/>
      <c r="H7" s="12"/>
      <c r="I7" s="12"/>
      <c r="J7" s="12"/>
    </row>
    <row r="8" spans="1:11" ht="21" thickBot="1">
      <c r="A8" s="29"/>
      <c r="B8" s="12"/>
      <c r="C8" s="12"/>
      <c r="D8" s="28"/>
      <c r="E8" s="35" t="s">
        <v>487</v>
      </c>
      <c r="F8" s="28" t="s">
        <v>0</v>
      </c>
      <c r="G8" s="12"/>
      <c r="H8" s="12"/>
      <c r="I8" s="12"/>
      <c r="J8" s="12"/>
    </row>
    <row r="9" spans="1:11" ht="17.25" thickBot="1">
      <c r="A9" s="32" t="s">
        <v>0</v>
      </c>
      <c r="B9" s="32" t="s">
        <v>0</v>
      </c>
      <c r="C9" s="148"/>
      <c r="D9" s="32" t="s">
        <v>0</v>
      </c>
      <c r="E9" s="32" t="s">
        <v>0</v>
      </c>
      <c r="F9" s="32"/>
      <c r="G9" s="28"/>
      <c r="H9" s="28"/>
      <c r="I9" s="28"/>
      <c r="J9" s="28"/>
      <c r="K9" s="148"/>
    </row>
    <row r="10" spans="1:11" ht="16.5">
      <c r="A10" s="33" t="s">
        <v>0</v>
      </c>
      <c r="B10" s="33" t="s">
        <v>3</v>
      </c>
      <c r="C10" s="33" t="s">
        <v>5</v>
      </c>
      <c r="D10" s="33" t="s">
        <v>156</v>
      </c>
      <c r="E10" s="33" t="s">
        <v>157</v>
      </c>
      <c r="F10" s="33" t="s">
        <v>159</v>
      </c>
      <c r="G10" s="33" t="s">
        <v>157</v>
      </c>
      <c r="H10" s="33" t="s">
        <v>159</v>
      </c>
      <c r="I10" s="33" t="s">
        <v>157</v>
      </c>
      <c r="J10" s="33" t="s">
        <v>159</v>
      </c>
      <c r="K10" s="33" t="s">
        <v>246</v>
      </c>
    </row>
    <row r="11" spans="1:11" ht="16.5">
      <c r="A11" s="33"/>
      <c r="B11" s="33" t="s">
        <v>4</v>
      </c>
      <c r="C11" s="33" t="s">
        <v>6</v>
      </c>
      <c r="D11" s="33" t="s">
        <v>27</v>
      </c>
      <c r="E11" s="33" t="s">
        <v>158</v>
      </c>
      <c r="F11" s="33" t="s">
        <v>117</v>
      </c>
      <c r="G11" s="33" t="s">
        <v>158</v>
      </c>
      <c r="H11" s="33" t="s">
        <v>117</v>
      </c>
      <c r="I11" s="33" t="s">
        <v>158</v>
      </c>
      <c r="J11" s="33" t="s">
        <v>117</v>
      </c>
      <c r="K11" s="33" t="s">
        <v>172</v>
      </c>
    </row>
    <row r="12" spans="1:11" ht="17.25" thickBot="1">
      <c r="A12" s="35" t="s">
        <v>2</v>
      </c>
      <c r="B12" s="35" t="s">
        <v>0</v>
      </c>
      <c r="C12" s="35" t="s">
        <v>0</v>
      </c>
      <c r="D12" s="35" t="s">
        <v>0</v>
      </c>
      <c r="E12" s="35" t="s">
        <v>160</v>
      </c>
      <c r="F12" s="35" t="s">
        <v>160</v>
      </c>
      <c r="G12" s="35" t="s">
        <v>244</v>
      </c>
      <c r="H12" s="35" t="s">
        <v>244</v>
      </c>
      <c r="I12" s="35" t="s">
        <v>245</v>
      </c>
      <c r="J12" s="35" t="s">
        <v>245</v>
      </c>
      <c r="K12" s="210" t="s">
        <v>247</v>
      </c>
    </row>
    <row r="13" spans="1:11">
      <c r="A13" s="37" t="s">
        <v>7</v>
      </c>
      <c r="B13" s="37" t="s">
        <v>7</v>
      </c>
      <c r="C13" s="37" t="s">
        <v>7</v>
      </c>
      <c r="D13" s="38" t="s">
        <v>113</v>
      </c>
      <c r="E13" s="37" t="s">
        <v>7</v>
      </c>
      <c r="F13" s="37" t="s">
        <v>15</v>
      </c>
      <c r="G13" s="37" t="s">
        <v>7</v>
      </c>
      <c r="H13" s="37" t="s">
        <v>15</v>
      </c>
      <c r="I13" s="37" t="s">
        <v>7</v>
      </c>
      <c r="J13" s="37" t="s">
        <v>15</v>
      </c>
      <c r="K13" s="37" t="s">
        <v>15</v>
      </c>
    </row>
    <row r="14" spans="1:11" ht="16.5">
      <c r="A14" s="33"/>
      <c r="B14" s="33"/>
      <c r="C14" s="33"/>
      <c r="D14" s="33"/>
      <c r="E14" s="33"/>
      <c r="F14" s="33"/>
      <c r="G14" s="12"/>
      <c r="H14" s="12"/>
      <c r="I14" s="12"/>
      <c r="J14" s="12"/>
      <c r="K14" s="12"/>
    </row>
    <row r="15" spans="1:11" ht="16.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ht="17.25">
      <c r="A16" s="60" t="str">
        <f>+'S&amp;D'!A22</f>
        <v>Energy Transfer LP</v>
      </c>
      <c r="B16" s="89" t="str">
        <f>+'S&amp;D'!B22</f>
        <v>ET</v>
      </c>
      <c r="C16" s="89" t="str">
        <f>+'S&amp;D'!C22</f>
        <v>Pipeline MLPs</v>
      </c>
      <c r="D16" s="57">
        <f>+'S&amp;D'!G22</f>
        <v>16.489999999999998</v>
      </c>
      <c r="E16" s="59">
        <v>1.36</v>
      </c>
      <c r="F16" s="63">
        <f t="shared" ref="F16:F18" si="0">+E16/D16</f>
        <v>8.2474226804123724E-2</v>
      </c>
      <c r="G16" s="59">
        <v>1.4</v>
      </c>
      <c r="H16" s="63">
        <f t="shared" ref="H16:H18" si="1">+G16/D16</f>
        <v>8.4899939357186177E-2</v>
      </c>
      <c r="I16" s="59">
        <v>1.5</v>
      </c>
      <c r="J16" s="63">
        <f t="shared" ref="J16:J18" si="2">+I16/D16</f>
        <v>9.0964220739842339E-2</v>
      </c>
      <c r="K16" s="209">
        <f>RATE(3,,-G16,I16)</f>
        <v>2.3264108093814472E-2</v>
      </c>
    </row>
    <row r="17" spans="1:11" ht="17.25">
      <c r="A17" s="60" t="str">
        <f>+'S&amp;D'!A23</f>
        <v>Enterprise Products Partnership LP</v>
      </c>
      <c r="B17" s="89" t="str">
        <f>+'S&amp;D'!B23</f>
        <v>EPD</v>
      </c>
      <c r="C17" s="89" t="str">
        <f>+'S&amp;D'!C23</f>
        <v>Pipeline MLPs</v>
      </c>
      <c r="D17" s="57">
        <f>+'S&amp;D'!G23</f>
        <v>32.06</v>
      </c>
      <c r="E17" s="59">
        <v>2.2400000000000002</v>
      </c>
      <c r="F17" s="63">
        <f t="shared" si="0"/>
        <v>6.9868995633187769E-2</v>
      </c>
      <c r="G17" s="59">
        <v>2.3199999999999998</v>
      </c>
      <c r="H17" s="63">
        <f t="shared" si="1"/>
        <v>7.2364316905801612E-2</v>
      </c>
      <c r="I17" s="59">
        <v>3.8</v>
      </c>
      <c r="J17" s="63">
        <f t="shared" si="2"/>
        <v>0.11852776044915782</v>
      </c>
      <c r="K17" s="209">
        <f t="shared" ref="K17:K18" si="3">RATE(3,,-G17,I17)</f>
        <v>0.17877758942143124</v>
      </c>
    </row>
    <row r="18" spans="1:11" ht="17.25">
      <c r="A18" s="60" t="str">
        <f>+'S&amp;D'!A24</f>
        <v>Hess Midstream LP</v>
      </c>
      <c r="B18" s="89" t="str">
        <f>+'S&amp;D'!B24</f>
        <v>HESM</v>
      </c>
      <c r="C18" s="89" t="str">
        <f>+'S&amp;D'!C24</f>
        <v>Pipeline MLPs</v>
      </c>
      <c r="D18" s="57">
        <f>+'S&amp;D'!G24</f>
        <v>34.5</v>
      </c>
      <c r="E18" s="59">
        <v>3.05</v>
      </c>
      <c r="F18" s="63">
        <f t="shared" si="0"/>
        <v>8.8405797101449274E-2</v>
      </c>
      <c r="G18" s="59">
        <v>3.2</v>
      </c>
      <c r="H18" s="63">
        <f t="shared" si="1"/>
        <v>9.2753623188405798E-2</v>
      </c>
      <c r="I18" s="59">
        <v>4</v>
      </c>
      <c r="J18" s="63">
        <f t="shared" si="2"/>
        <v>0.11594202898550725</v>
      </c>
      <c r="K18" s="209">
        <f t="shared" si="3"/>
        <v>7.7217345015989466E-2</v>
      </c>
    </row>
    <row r="19" spans="1:11" ht="17.25">
      <c r="A19" s="60" t="str">
        <f>+'S&amp;D'!A25</f>
        <v>MPLX, LP</v>
      </c>
      <c r="B19" s="89" t="str">
        <f>+'S&amp;D'!B25</f>
        <v>MPLX</v>
      </c>
      <c r="C19" s="89" t="str">
        <f>+'S&amp;D'!C25</f>
        <v>Pipeline MLPs</v>
      </c>
      <c r="D19" s="57">
        <f>+'S&amp;D'!G25</f>
        <v>53.37</v>
      </c>
      <c r="E19" s="59">
        <v>4.32</v>
      </c>
      <c r="F19" s="63">
        <f t="shared" ref="F19:F21" si="4">+E19/D19</f>
        <v>8.0944350758853298E-2</v>
      </c>
      <c r="G19" s="59">
        <v>4.5</v>
      </c>
      <c r="H19" s="63">
        <f>+G19/D19</f>
        <v>8.4317032040472181E-2</v>
      </c>
      <c r="I19" s="59">
        <v>5.3</v>
      </c>
      <c r="J19" s="63">
        <f t="shared" ref="J19:J21" si="5">+I19/D19</f>
        <v>9.9306726625445013E-2</v>
      </c>
      <c r="K19" s="209">
        <f>RATE(3,,-G19,I19)</f>
        <v>5.6058035105889963E-2</v>
      </c>
    </row>
    <row r="20" spans="1:11" ht="17.25">
      <c r="A20" s="60" t="str">
        <f>+'S&amp;D'!A26</f>
        <v>Plains All American Pipeline LP</v>
      </c>
      <c r="B20" s="89" t="str">
        <f>+'S&amp;D'!B26</f>
        <v>PAA</v>
      </c>
      <c r="C20" s="89" t="str">
        <f>+'S&amp;D'!C26</f>
        <v>Pipeline MLPs</v>
      </c>
      <c r="D20" s="57">
        <f>+'S&amp;D'!G26</f>
        <v>17.96</v>
      </c>
      <c r="E20" s="59">
        <v>1.67</v>
      </c>
      <c r="F20" s="63">
        <f t="shared" si="4"/>
        <v>9.2984409799554552E-2</v>
      </c>
      <c r="G20" s="59">
        <v>1.8</v>
      </c>
      <c r="H20" s="63">
        <f t="shared" ref="H20:H21" si="6">+G20/D20</f>
        <v>0.10022271714922049</v>
      </c>
      <c r="I20" s="59">
        <v>2.5</v>
      </c>
      <c r="J20" s="63">
        <f t="shared" si="5"/>
        <v>0.13919821826280623</v>
      </c>
      <c r="K20" s="209">
        <f t="shared" ref="K20:K21" si="7">RATE(3,,-G20,I20)</f>
        <v>0.11572158347028512</v>
      </c>
    </row>
    <row r="21" spans="1:11" ht="17.25">
      <c r="A21" s="60" t="str">
        <f>+'S&amp;D'!A27</f>
        <v>Western Midstream Partners LP</v>
      </c>
      <c r="B21" s="89" t="str">
        <f>+'S&amp;D'!B27</f>
        <v>WES</v>
      </c>
      <c r="C21" s="89" t="str">
        <f>+'S&amp;D'!C27</f>
        <v>Pipeline MLPs</v>
      </c>
      <c r="D21" s="57">
        <f>+'S&amp;D'!G27</f>
        <v>39.5</v>
      </c>
      <c r="E21" s="59">
        <v>3.75</v>
      </c>
      <c r="F21" s="63">
        <f t="shared" si="4"/>
        <v>9.49367088607595E-2</v>
      </c>
      <c r="G21" s="59">
        <v>3.9</v>
      </c>
      <c r="H21" s="63">
        <f t="shared" si="6"/>
        <v>9.8734177215189872E-2</v>
      </c>
      <c r="I21" s="59">
        <v>4</v>
      </c>
      <c r="J21" s="63">
        <f t="shared" si="5"/>
        <v>0.10126582278481013</v>
      </c>
      <c r="K21" s="209">
        <f t="shared" si="7"/>
        <v>8.4749803491257075E-3</v>
      </c>
    </row>
    <row r="22" spans="1:11" ht="17.25" thickBot="1">
      <c r="A22" s="12"/>
      <c r="B22" s="12"/>
      <c r="C22" s="42"/>
      <c r="D22" s="45"/>
      <c r="E22" s="45"/>
      <c r="F22" s="45"/>
      <c r="G22" s="45"/>
      <c r="H22" s="45"/>
      <c r="I22" s="45"/>
      <c r="J22" s="45"/>
      <c r="K22" s="45"/>
    </row>
    <row r="23" spans="1:11" ht="17.25" thickTop="1">
      <c r="A23" s="12"/>
      <c r="B23" s="12"/>
      <c r="D23" s="14" t="s">
        <v>45</v>
      </c>
      <c r="E23" s="16">
        <f t="shared" ref="E23:K23" si="8">MAX(E16:E21)</f>
        <v>4.32</v>
      </c>
      <c r="F23" s="300">
        <f t="shared" si="8"/>
        <v>9.49367088607595E-2</v>
      </c>
      <c r="G23" s="16">
        <f t="shared" si="8"/>
        <v>4.5</v>
      </c>
      <c r="H23" s="300">
        <f t="shared" si="8"/>
        <v>0.10022271714922049</v>
      </c>
      <c r="I23" s="16">
        <f t="shared" si="8"/>
        <v>5.3</v>
      </c>
      <c r="J23" s="300">
        <f t="shared" si="8"/>
        <v>0.13919821826280623</v>
      </c>
      <c r="K23" s="300">
        <f t="shared" si="8"/>
        <v>0.17877758942143124</v>
      </c>
    </row>
    <row r="24" spans="1:11" ht="16.5">
      <c r="A24" s="12"/>
      <c r="B24" s="12"/>
      <c r="D24" s="14" t="s">
        <v>46</v>
      </c>
      <c r="E24" s="326">
        <f t="shared" ref="E24:K24" si="9">MIN(E16:E21)</f>
        <v>1.36</v>
      </c>
      <c r="F24" s="327">
        <f t="shared" si="9"/>
        <v>6.9868995633187769E-2</v>
      </c>
      <c r="G24" s="326">
        <f t="shared" si="9"/>
        <v>1.4</v>
      </c>
      <c r="H24" s="327">
        <f t="shared" si="9"/>
        <v>7.2364316905801612E-2</v>
      </c>
      <c r="I24" s="326">
        <f t="shared" si="9"/>
        <v>1.5</v>
      </c>
      <c r="J24" s="327">
        <f t="shared" si="9"/>
        <v>9.0964220739842339E-2</v>
      </c>
      <c r="K24" s="327">
        <f t="shared" si="9"/>
        <v>8.4749803491257075E-3</v>
      </c>
    </row>
    <row r="25" spans="1:11" ht="16.5">
      <c r="A25" s="12"/>
      <c r="B25" s="12"/>
      <c r="D25" s="14" t="s">
        <v>18</v>
      </c>
      <c r="E25" s="17">
        <f t="shared" ref="E25:K25" si="10">MEDIAN(E16:E21)</f>
        <v>2.645</v>
      </c>
      <c r="F25" s="52">
        <f t="shared" si="10"/>
        <v>8.5440011952786499E-2</v>
      </c>
      <c r="G25" s="17">
        <f t="shared" si="10"/>
        <v>2.76</v>
      </c>
      <c r="H25" s="52">
        <f t="shared" si="10"/>
        <v>8.8826781272795988E-2</v>
      </c>
      <c r="I25" s="17">
        <f t="shared" si="10"/>
        <v>3.9</v>
      </c>
      <c r="J25" s="52">
        <f t="shared" si="10"/>
        <v>0.10860392588515869</v>
      </c>
      <c r="K25" s="52">
        <f t="shared" si="10"/>
        <v>6.6637690060939711E-2</v>
      </c>
    </row>
    <row r="26" spans="1:11" ht="16.5">
      <c r="A26" s="12"/>
      <c r="B26" s="12"/>
      <c r="D26" s="14" t="s">
        <v>392</v>
      </c>
      <c r="E26" s="21">
        <f t="shared" ref="E26:K26" si="11">AVERAGE(E16:E21)</f>
        <v>2.7316666666666669</v>
      </c>
      <c r="F26" s="54">
        <f t="shared" si="11"/>
        <v>8.4935748159654698E-2</v>
      </c>
      <c r="G26" s="21">
        <f t="shared" si="11"/>
        <v>2.8533333333333335</v>
      </c>
      <c r="H26" s="54">
        <f t="shared" si="11"/>
        <v>8.8881967642712681E-2</v>
      </c>
      <c r="I26" s="21">
        <f t="shared" si="11"/>
        <v>3.5166666666666671</v>
      </c>
      <c r="J26" s="54">
        <f t="shared" si="11"/>
        <v>0.11086746297459478</v>
      </c>
      <c r="K26" s="54">
        <f t="shared" si="11"/>
        <v>7.6585606909422663E-2</v>
      </c>
    </row>
    <row r="27" spans="1:11" ht="16.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26.25">
      <c r="A28" s="12"/>
      <c r="B28" s="12"/>
      <c r="C28" s="12"/>
      <c r="D28" s="12"/>
      <c r="E28" s="12"/>
      <c r="F28" s="47" t="s">
        <v>0</v>
      </c>
      <c r="G28" s="61" t="s">
        <v>0</v>
      </c>
      <c r="H28" s="12"/>
      <c r="I28" s="12"/>
      <c r="J28" s="12"/>
      <c r="K28" s="12"/>
    </row>
    <row r="29" spans="1:11" ht="18.75">
      <c r="A29" s="211" t="s">
        <v>248</v>
      </c>
    </row>
  </sheetData>
  <pageMargins left="0.25" right="0.25" top="0.75" bottom="0.75" header="0.3" footer="0.3"/>
  <pageSetup scale="5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596C7-3CA4-4A86-9548-2C135C060B79}">
  <sheetPr>
    <tabColor rgb="FF92D050"/>
  </sheetPr>
  <dimension ref="A1:K29"/>
  <sheetViews>
    <sheetView view="pageBreakPreview" zoomScale="60" zoomScaleNormal="80" workbookViewId="0">
      <selection activeCell="F6" sqref="F6"/>
    </sheetView>
  </sheetViews>
  <sheetFormatPr defaultRowHeight="15"/>
  <cols>
    <col min="1" max="1" width="51.5703125" customWidth="1"/>
    <col min="2" max="2" width="10.85546875" bestFit="1" customWidth="1"/>
    <col min="3" max="3" width="19.140625" bestFit="1" customWidth="1"/>
    <col min="4" max="4" width="15.28515625" customWidth="1"/>
    <col min="5" max="5" width="25.28515625" bestFit="1" customWidth="1"/>
    <col min="6" max="6" width="20" customWidth="1"/>
    <col min="7" max="7" width="16.5703125" customWidth="1"/>
    <col min="8" max="8" width="19.140625" customWidth="1"/>
    <col min="9" max="10" width="20.140625" customWidth="1"/>
    <col min="11" max="11" width="17.7109375" customWidth="1"/>
    <col min="12" max="12" width="23.7109375" customWidth="1"/>
  </cols>
  <sheetData>
    <row r="1" spans="1:11" ht="26.25">
      <c r="A1" s="23" t="s">
        <v>1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17.25">
      <c r="A2" s="24" t="s">
        <v>9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ht="16.5">
      <c r="A3" s="25" t="s">
        <v>475</v>
      </c>
      <c r="B3" s="12"/>
      <c r="C3" s="12"/>
      <c r="D3" s="12"/>
      <c r="E3" s="12"/>
      <c r="F3" s="12"/>
      <c r="G3" s="12"/>
      <c r="H3" s="12"/>
      <c r="I3" s="12"/>
      <c r="J3" s="12"/>
    </row>
    <row r="4" spans="1:11" ht="16.5">
      <c r="A4" s="25"/>
      <c r="B4" s="12"/>
      <c r="C4" s="12"/>
      <c r="D4" s="12"/>
      <c r="E4" s="12"/>
      <c r="F4" s="12"/>
      <c r="G4" s="12"/>
      <c r="H4" s="12"/>
      <c r="I4" s="12"/>
      <c r="J4" s="12"/>
    </row>
    <row r="5" spans="1:11" ht="17.25" thickBot="1">
      <c r="A5" s="12"/>
      <c r="B5" s="12"/>
      <c r="C5" s="12"/>
      <c r="D5" s="12"/>
      <c r="E5" s="12"/>
      <c r="F5" s="12"/>
      <c r="G5" s="26"/>
      <c r="H5" s="12"/>
      <c r="I5" s="12"/>
      <c r="J5" s="12"/>
    </row>
    <row r="6" spans="1:11" ht="21" thickBot="1">
      <c r="A6" s="246" t="str">
        <f>+'S&amp;D'!A12</f>
        <v>Liquid Transportation Pipeline Carriers</v>
      </c>
      <c r="B6" s="181"/>
      <c r="C6" s="12"/>
      <c r="D6" s="28"/>
      <c r="E6" s="28"/>
      <c r="F6" s="504" t="s">
        <v>0</v>
      </c>
      <c r="G6" s="12"/>
      <c r="H6" s="12"/>
      <c r="I6" s="12"/>
      <c r="J6" s="12"/>
    </row>
    <row r="7" spans="1:11" ht="26.25">
      <c r="A7" s="29"/>
      <c r="B7" s="12"/>
      <c r="C7" s="12"/>
      <c r="D7" s="12"/>
      <c r="E7" s="30" t="s">
        <v>249</v>
      </c>
      <c r="F7" s="12"/>
      <c r="G7" s="12"/>
      <c r="H7" s="12"/>
      <c r="I7" s="12"/>
      <c r="J7" s="12"/>
    </row>
    <row r="8" spans="1:11" ht="21" thickBot="1">
      <c r="A8" s="29"/>
      <c r="B8" s="12"/>
      <c r="C8" s="12"/>
      <c r="D8" s="28"/>
      <c r="E8" s="35" t="s">
        <v>487</v>
      </c>
      <c r="F8" s="28" t="s">
        <v>0</v>
      </c>
      <c r="G8" s="12"/>
      <c r="H8" s="12"/>
      <c r="I8" s="12"/>
      <c r="J8" s="12"/>
    </row>
    <row r="9" spans="1:11" ht="17.25" thickBot="1">
      <c r="A9" s="32" t="s">
        <v>0</v>
      </c>
      <c r="B9" s="32" t="s">
        <v>0</v>
      </c>
      <c r="C9" s="148"/>
      <c r="D9" s="32" t="s">
        <v>0</v>
      </c>
      <c r="E9" s="32" t="s">
        <v>0</v>
      </c>
      <c r="F9" s="32"/>
      <c r="G9" s="28"/>
      <c r="H9" s="28"/>
      <c r="I9" s="28"/>
      <c r="J9" s="28"/>
      <c r="K9" s="148"/>
    </row>
    <row r="10" spans="1:11" ht="16.5">
      <c r="A10" s="33" t="s">
        <v>0</v>
      </c>
      <c r="B10" s="33" t="s">
        <v>3</v>
      </c>
      <c r="C10" s="33" t="s">
        <v>5</v>
      </c>
      <c r="D10" s="33" t="s">
        <v>156</v>
      </c>
      <c r="E10" s="33" t="s">
        <v>162</v>
      </c>
      <c r="F10" s="33" t="s">
        <v>162</v>
      </c>
      <c r="G10" s="33" t="s">
        <v>162</v>
      </c>
      <c r="H10" s="33" t="s">
        <v>162</v>
      </c>
      <c r="I10" s="33" t="s">
        <v>162</v>
      </c>
      <c r="J10" s="33" t="s">
        <v>162</v>
      </c>
      <c r="K10" s="33" t="s">
        <v>246</v>
      </c>
    </row>
    <row r="11" spans="1:11" ht="16.5">
      <c r="A11" s="33"/>
      <c r="B11" s="33" t="s">
        <v>4</v>
      </c>
      <c r="C11" s="33" t="s">
        <v>6</v>
      </c>
      <c r="D11" s="33" t="s">
        <v>27</v>
      </c>
      <c r="E11" s="33" t="s">
        <v>158</v>
      </c>
      <c r="F11" s="33" t="s">
        <v>117</v>
      </c>
      <c r="G11" s="33" t="s">
        <v>158</v>
      </c>
      <c r="H11" s="33" t="s">
        <v>117</v>
      </c>
      <c r="I11" s="33" t="s">
        <v>158</v>
      </c>
      <c r="J11" s="33" t="s">
        <v>117</v>
      </c>
      <c r="K11" s="33" t="s">
        <v>172</v>
      </c>
    </row>
    <row r="12" spans="1:11" ht="17.25" thickBot="1">
      <c r="A12" s="35" t="s">
        <v>2</v>
      </c>
      <c r="B12" s="35" t="s">
        <v>0</v>
      </c>
      <c r="C12" s="35" t="s">
        <v>0</v>
      </c>
      <c r="D12" s="35" t="s">
        <v>0</v>
      </c>
      <c r="E12" s="35" t="s">
        <v>160</v>
      </c>
      <c r="F12" s="35" t="s">
        <v>160</v>
      </c>
      <c r="G12" s="35" t="s">
        <v>244</v>
      </c>
      <c r="H12" s="35" t="s">
        <v>244</v>
      </c>
      <c r="I12" s="35" t="s">
        <v>245</v>
      </c>
      <c r="J12" s="35" t="s">
        <v>245</v>
      </c>
      <c r="K12" s="210" t="s">
        <v>247</v>
      </c>
    </row>
    <row r="13" spans="1:11">
      <c r="A13" s="37" t="s">
        <v>7</v>
      </c>
      <c r="B13" s="37" t="s">
        <v>7</v>
      </c>
      <c r="C13" s="37" t="s">
        <v>7</v>
      </c>
      <c r="D13" s="38" t="s">
        <v>113</v>
      </c>
      <c r="E13" s="37" t="s">
        <v>7</v>
      </c>
      <c r="F13" s="37" t="s">
        <v>15</v>
      </c>
      <c r="G13" s="37" t="s">
        <v>7</v>
      </c>
      <c r="H13" s="37" t="s">
        <v>15</v>
      </c>
      <c r="I13" s="37" t="s">
        <v>7</v>
      </c>
      <c r="J13" s="37" t="s">
        <v>15</v>
      </c>
      <c r="K13" s="37" t="s">
        <v>15</v>
      </c>
    </row>
    <row r="14" spans="1:11" ht="16.5">
      <c r="A14" s="33"/>
      <c r="B14" s="33"/>
      <c r="C14" s="33"/>
      <c r="D14" s="33"/>
      <c r="E14" s="33"/>
      <c r="F14" s="33"/>
      <c r="G14" s="12"/>
      <c r="H14" s="12"/>
      <c r="I14" s="12"/>
      <c r="J14" s="12"/>
      <c r="K14" s="12"/>
    </row>
    <row r="15" spans="1:11" ht="16.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ht="17.25">
      <c r="A16" s="42" t="str">
        <f>+'S&amp;D'!A22</f>
        <v>Energy Transfer LP</v>
      </c>
      <c r="B16" s="33" t="str">
        <f>+'S&amp;D'!B22</f>
        <v>ET</v>
      </c>
      <c r="C16" s="33" t="str">
        <f>+'S&amp;D'!C22</f>
        <v>Pipeline MLPs</v>
      </c>
      <c r="D16" s="57">
        <f>+'S&amp;D'!G22</f>
        <v>16.489999999999998</v>
      </c>
      <c r="E16" s="59">
        <v>1.4</v>
      </c>
      <c r="F16" s="63">
        <f t="shared" ref="F16:F18" si="0">+E16/D16</f>
        <v>8.4899939357186177E-2</v>
      </c>
      <c r="G16" s="59">
        <v>1.5</v>
      </c>
      <c r="H16" s="63">
        <f t="shared" ref="H16:H18" si="1">+G16/D16</f>
        <v>9.0964220739842339E-2</v>
      </c>
      <c r="I16" s="59">
        <v>2</v>
      </c>
      <c r="J16" s="63">
        <f t="shared" ref="J16:J18" si="2">+I16/D16</f>
        <v>0.12128562765312312</v>
      </c>
      <c r="K16" s="209">
        <f t="shared" ref="K16:K18" si="3">RATE(3,,-G16,I16)</f>
        <v>0.10064241629820768</v>
      </c>
    </row>
    <row r="17" spans="1:11" ht="17.25">
      <c r="A17" s="42" t="str">
        <f>+'S&amp;D'!A23</f>
        <v>Enterprise Products Partnership LP</v>
      </c>
      <c r="B17" s="33" t="str">
        <f>+'S&amp;D'!B23</f>
        <v>EPD</v>
      </c>
      <c r="C17" s="33" t="str">
        <f>+'S&amp;D'!C23</f>
        <v>Pipeline MLPs</v>
      </c>
      <c r="D17" s="57">
        <f>+'S&amp;D'!G23</f>
        <v>32.06</v>
      </c>
      <c r="E17" s="59">
        <v>2.8</v>
      </c>
      <c r="F17" s="63">
        <f t="shared" si="0"/>
        <v>8.7336244541484698E-2</v>
      </c>
      <c r="G17" s="59">
        <v>3.05</v>
      </c>
      <c r="H17" s="63">
        <f t="shared" si="1"/>
        <v>9.5134123518402988E-2</v>
      </c>
      <c r="I17" s="59">
        <v>3.8</v>
      </c>
      <c r="J17" s="63">
        <f t="shared" si="2"/>
        <v>0.11852776044915782</v>
      </c>
      <c r="K17" s="209">
        <f t="shared" si="3"/>
        <v>7.6038769299235892E-2</v>
      </c>
    </row>
    <row r="18" spans="1:11" ht="17.25">
      <c r="A18" s="42" t="str">
        <f>+'S&amp;D'!A24</f>
        <v>Hess Midstream LP</v>
      </c>
      <c r="B18" s="33" t="str">
        <f>+'S&amp;D'!B24</f>
        <v>HESM</v>
      </c>
      <c r="C18" s="33" t="str">
        <f>+'S&amp;D'!C24</f>
        <v>Pipeline MLPs</v>
      </c>
      <c r="D18" s="57">
        <f>+'S&amp;D'!G24</f>
        <v>34.5</v>
      </c>
      <c r="E18" s="59">
        <v>2.9</v>
      </c>
      <c r="F18" s="63">
        <f t="shared" si="0"/>
        <v>8.4057971014492749E-2</v>
      </c>
      <c r="G18" s="59">
        <v>3</v>
      </c>
      <c r="H18" s="63">
        <f t="shared" si="1"/>
        <v>8.6956521739130432E-2</v>
      </c>
      <c r="I18" s="59">
        <v>4</v>
      </c>
      <c r="J18" s="63">
        <f t="shared" si="2"/>
        <v>0.11594202898550725</v>
      </c>
      <c r="K18" s="209">
        <f t="shared" si="3"/>
        <v>0.10064241629820768</v>
      </c>
    </row>
    <row r="19" spans="1:11" ht="17.25">
      <c r="A19" s="42" t="str">
        <f>+'S&amp;D'!A25</f>
        <v>MPLX, LP</v>
      </c>
      <c r="B19" s="33" t="str">
        <f>+'S&amp;D'!B25</f>
        <v>MPLX</v>
      </c>
      <c r="C19" s="33" t="str">
        <f>+'S&amp;D'!C25</f>
        <v>Pipeline MLPs</v>
      </c>
      <c r="D19" s="57">
        <f>+'S&amp;D'!G25</f>
        <v>53.37</v>
      </c>
      <c r="E19" s="59">
        <v>5.45</v>
      </c>
      <c r="F19" s="63">
        <v>0.06</v>
      </c>
      <c r="G19" s="59">
        <v>6</v>
      </c>
      <c r="H19" s="63">
        <f>+G19/D19</f>
        <v>0.11242270938729623</v>
      </c>
      <c r="I19" s="59">
        <v>7.3</v>
      </c>
      <c r="J19" s="63">
        <f t="shared" ref="J19:J21" si="4">+I19/D19</f>
        <v>0.1367809630878771</v>
      </c>
      <c r="K19" s="209">
        <f t="shared" ref="K19:K21" si="5">RATE(3,,-G19,I19)</f>
        <v>6.7555682453777036E-2</v>
      </c>
    </row>
    <row r="20" spans="1:11" ht="17.25">
      <c r="A20" s="42" t="str">
        <f>+'S&amp;D'!A26</f>
        <v>Plains All American Pipeline LP</v>
      </c>
      <c r="B20" s="33" t="str">
        <f>+'S&amp;D'!B26</f>
        <v>PAA</v>
      </c>
      <c r="C20" s="33" t="str">
        <f>+'S&amp;D'!C26</f>
        <v>Pipeline MLPs</v>
      </c>
      <c r="D20" s="57">
        <f>+'S&amp;D'!G26</f>
        <v>17.96</v>
      </c>
      <c r="E20" s="59">
        <v>1.5</v>
      </c>
      <c r="F20" s="63">
        <f t="shared" ref="F20:F21" si="6">+E20/D20</f>
        <v>8.3518930957683743E-2</v>
      </c>
      <c r="G20" s="59">
        <v>1.6</v>
      </c>
      <c r="H20" s="63">
        <f t="shared" ref="H20:H21" si="7">+G20/D20</f>
        <v>8.9086859688195991E-2</v>
      </c>
      <c r="I20" s="59">
        <v>2.35</v>
      </c>
      <c r="J20" s="63">
        <f t="shared" si="4"/>
        <v>0.13084632516703787</v>
      </c>
      <c r="K20" s="209">
        <f t="shared" si="5"/>
        <v>0.13670898594591951</v>
      </c>
    </row>
    <row r="21" spans="1:11" ht="17.25">
      <c r="A21" s="42" t="str">
        <f>+'S&amp;D'!A27</f>
        <v>Western Midstream Partners LP</v>
      </c>
      <c r="B21" s="33" t="str">
        <f>+'S&amp;D'!B27</f>
        <v>WES</v>
      </c>
      <c r="C21" s="33" t="str">
        <f>+'S&amp;D'!C27</f>
        <v>Pipeline MLPs</v>
      </c>
      <c r="D21" s="57">
        <f>+'S&amp;D'!G27</f>
        <v>39.5</v>
      </c>
      <c r="E21" s="59">
        <v>3.65</v>
      </c>
      <c r="F21" s="63">
        <f t="shared" si="6"/>
        <v>9.2405063291139233E-2</v>
      </c>
      <c r="G21" s="59">
        <v>3.9</v>
      </c>
      <c r="H21" s="63">
        <f t="shared" si="7"/>
        <v>9.8734177215189872E-2</v>
      </c>
      <c r="I21" s="59">
        <v>5.4</v>
      </c>
      <c r="J21" s="63">
        <f t="shared" si="4"/>
        <v>0.13670886075949368</v>
      </c>
      <c r="K21" s="209">
        <f t="shared" si="5"/>
        <v>0.11457607795906305</v>
      </c>
    </row>
    <row r="22" spans="1:11" ht="17.25" thickBot="1">
      <c r="A22" s="12"/>
      <c r="B22" s="12"/>
      <c r="C22" s="42"/>
      <c r="D22" s="45"/>
      <c r="E22" s="45"/>
      <c r="F22" s="45"/>
      <c r="G22" s="45"/>
      <c r="H22" s="45"/>
      <c r="I22" s="45"/>
      <c r="J22" s="45"/>
      <c r="K22" s="45"/>
    </row>
    <row r="23" spans="1:11" ht="17.25" thickTop="1">
      <c r="A23" s="12"/>
      <c r="B23" s="12"/>
      <c r="C23" s="14" t="s">
        <v>45</v>
      </c>
      <c r="D23" s="16">
        <f t="shared" ref="D23:K23" si="8">MAX(D16:D21)</f>
        <v>53.37</v>
      </c>
      <c r="E23" s="16">
        <f t="shared" si="8"/>
        <v>5.45</v>
      </c>
      <c r="F23" s="300">
        <f t="shared" si="8"/>
        <v>9.2405063291139233E-2</v>
      </c>
      <c r="G23" s="16">
        <f t="shared" si="8"/>
        <v>6</v>
      </c>
      <c r="H23" s="300">
        <f t="shared" si="8"/>
        <v>0.11242270938729623</v>
      </c>
      <c r="I23" s="16">
        <f t="shared" si="8"/>
        <v>7.3</v>
      </c>
      <c r="J23" s="300">
        <f t="shared" si="8"/>
        <v>0.1367809630878771</v>
      </c>
      <c r="K23" s="300">
        <f t="shared" si="8"/>
        <v>0.13670898594591951</v>
      </c>
    </row>
    <row r="24" spans="1:11" ht="16.5">
      <c r="A24" s="12"/>
      <c r="B24" s="12"/>
      <c r="C24" s="329" t="s">
        <v>46</v>
      </c>
      <c r="D24" s="326">
        <f t="shared" ref="D24:K24" si="9">MIN(D16:D21)</f>
        <v>16.489999999999998</v>
      </c>
      <c r="E24" s="326">
        <f t="shared" si="9"/>
        <v>1.4</v>
      </c>
      <c r="F24" s="327">
        <f t="shared" si="9"/>
        <v>0.06</v>
      </c>
      <c r="G24" s="326">
        <f t="shared" si="9"/>
        <v>1.5</v>
      </c>
      <c r="H24" s="327">
        <f t="shared" si="9"/>
        <v>8.6956521739130432E-2</v>
      </c>
      <c r="I24" s="326">
        <f t="shared" si="9"/>
        <v>2</v>
      </c>
      <c r="J24" s="327">
        <f t="shared" si="9"/>
        <v>0.11594202898550725</v>
      </c>
      <c r="K24" s="327">
        <f t="shared" si="9"/>
        <v>6.7555682453777036E-2</v>
      </c>
    </row>
    <row r="25" spans="1:11" ht="16.5">
      <c r="A25" s="12"/>
      <c r="B25" s="12"/>
      <c r="C25" s="14" t="s">
        <v>18</v>
      </c>
      <c r="D25" s="17">
        <f t="shared" ref="D25:J25" si="10">MEDIAN(D16:D21)</f>
        <v>33.28</v>
      </c>
      <c r="E25" s="17">
        <f t="shared" si="10"/>
        <v>2.8499999999999996</v>
      </c>
      <c r="F25" s="52">
        <f t="shared" si="10"/>
        <v>8.4478955185839463E-2</v>
      </c>
      <c r="G25" s="17">
        <f t="shared" si="10"/>
        <v>3.0249999999999999</v>
      </c>
      <c r="H25" s="52">
        <f t="shared" si="10"/>
        <v>9.304917212912267E-2</v>
      </c>
      <c r="I25" s="17">
        <f t="shared" si="10"/>
        <v>3.9</v>
      </c>
      <c r="J25" s="52">
        <f t="shared" si="10"/>
        <v>0.12606597641008049</v>
      </c>
      <c r="K25" s="52">
        <f>MEDIAN(K16:K21)</f>
        <v>0.10064241629820768</v>
      </c>
    </row>
    <row r="26" spans="1:11" ht="16.5">
      <c r="A26" s="12"/>
      <c r="B26" s="12"/>
      <c r="C26" s="14" t="s">
        <v>392</v>
      </c>
      <c r="D26" s="21">
        <f t="shared" ref="D26:K26" si="11">AVERAGE(D16:D21)</f>
        <v>32.313333333333333</v>
      </c>
      <c r="E26" s="21">
        <f t="shared" si="11"/>
        <v>2.9499999999999997</v>
      </c>
      <c r="F26" s="54">
        <f t="shared" si="11"/>
        <v>8.2036358193664435E-2</v>
      </c>
      <c r="G26" s="21">
        <f t="shared" si="11"/>
        <v>3.1750000000000003</v>
      </c>
      <c r="H26" s="54">
        <f t="shared" si="11"/>
        <v>9.5549768714676298E-2</v>
      </c>
      <c r="I26" s="21">
        <f t="shared" si="11"/>
        <v>4.1416666666666666</v>
      </c>
      <c r="J26" s="54">
        <f t="shared" si="11"/>
        <v>0.12668192768369946</v>
      </c>
      <c r="K26" s="54">
        <f t="shared" si="11"/>
        <v>9.9360724709068468E-2</v>
      </c>
    </row>
    <row r="27" spans="1:11" ht="16.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26.25">
      <c r="A28" s="12"/>
      <c r="B28" s="12"/>
      <c r="C28" s="12"/>
      <c r="D28" s="12"/>
      <c r="E28" s="12"/>
      <c r="F28" s="47" t="s">
        <v>0</v>
      </c>
      <c r="G28" s="61" t="s">
        <v>0</v>
      </c>
      <c r="H28" s="12"/>
      <c r="I28" s="12"/>
      <c r="J28" s="12"/>
      <c r="K28" s="12"/>
    </row>
    <row r="29" spans="1:11" ht="18.75">
      <c r="A29" s="211" t="s">
        <v>248</v>
      </c>
    </row>
  </sheetData>
  <pageMargins left="0.25" right="0.25" top="0.75" bottom="0.75" header="0.3" footer="0.3"/>
  <pageSetup scale="5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M57"/>
  <sheetViews>
    <sheetView view="pageBreakPreview" zoomScale="80" zoomScaleNormal="80" zoomScaleSheetLayoutView="80" workbookViewId="0">
      <selection activeCell="F6" sqref="F6"/>
    </sheetView>
  </sheetViews>
  <sheetFormatPr defaultRowHeight="15"/>
  <cols>
    <col min="1" max="1" width="42.85546875" customWidth="1"/>
    <col min="2" max="2" width="13.42578125" customWidth="1"/>
    <col min="3" max="3" width="19.140625" bestFit="1" customWidth="1"/>
    <col min="4" max="4" width="21.140625" customWidth="1"/>
    <col min="5" max="5" width="23.5703125" customWidth="1"/>
    <col min="6" max="6" width="16.140625" customWidth="1"/>
    <col min="7" max="7" width="12.140625" customWidth="1"/>
    <col min="8" max="8" width="18.5703125" customWidth="1"/>
    <col min="9" max="9" width="19.28515625" customWidth="1"/>
    <col min="10" max="11" width="20.5703125" customWidth="1"/>
    <col min="12" max="12" width="26.5703125" customWidth="1"/>
    <col min="13" max="13" width="13.7109375" customWidth="1"/>
  </cols>
  <sheetData>
    <row r="1" spans="1:13" ht="26.25">
      <c r="A1" s="23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7.25">
      <c r="A2" s="24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6.5">
      <c r="A3" s="25" t="s">
        <v>62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6.5">
      <c r="A4" s="25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7.25" thickBot="1">
      <c r="A5" s="12"/>
      <c r="B5" s="12"/>
      <c r="C5" s="12"/>
      <c r="D5" s="12"/>
      <c r="E5" s="12"/>
      <c r="F5" s="12"/>
      <c r="G5" s="26"/>
      <c r="H5" s="26"/>
      <c r="I5" s="12"/>
      <c r="J5" s="12"/>
      <c r="K5" s="12"/>
      <c r="L5" s="12"/>
      <c r="M5" s="12"/>
    </row>
    <row r="6" spans="1:13" ht="21" thickBot="1">
      <c r="A6" s="246" t="str">
        <f>+'S&amp;D'!A12</f>
        <v>Liquid Transportation Pipeline Carriers</v>
      </c>
      <c r="B6" s="181"/>
      <c r="C6" s="12"/>
      <c r="D6" s="28"/>
      <c r="E6" s="28"/>
      <c r="F6" s="504" t="s">
        <v>0</v>
      </c>
      <c r="G6" s="12"/>
      <c r="H6" s="12"/>
      <c r="I6" s="12"/>
      <c r="J6" s="12"/>
      <c r="K6" s="12"/>
      <c r="L6" s="12"/>
      <c r="M6" s="12"/>
    </row>
    <row r="7" spans="1:13" ht="26.25">
      <c r="A7" s="29"/>
      <c r="B7" s="12"/>
      <c r="C7" s="12"/>
      <c r="D7" s="12"/>
      <c r="E7" s="30" t="s">
        <v>473</v>
      </c>
      <c r="F7" s="12"/>
      <c r="G7" s="12"/>
      <c r="H7" s="12"/>
      <c r="I7" s="12"/>
      <c r="J7" s="12"/>
      <c r="K7" s="12"/>
      <c r="L7" s="12"/>
      <c r="M7" s="12"/>
    </row>
    <row r="8" spans="1:13" ht="21" thickBot="1">
      <c r="A8" s="29"/>
      <c r="B8" s="12"/>
      <c r="C8" s="12"/>
      <c r="D8" s="28"/>
      <c r="E8" s="35" t="s">
        <v>487</v>
      </c>
      <c r="F8" s="28" t="s">
        <v>0</v>
      </c>
      <c r="G8" s="12"/>
      <c r="H8" s="12"/>
      <c r="I8" s="12"/>
      <c r="J8" s="12"/>
      <c r="K8" s="12"/>
      <c r="L8" s="12"/>
      <c r="M8" s="12"/>
    </row>
    <row r="9" spans="1:13" ht="17.25" thickBot="1">
      <c r="A9" s="32" t="s">
        <v>0</v>
      </c>
      <c r="B9" s="32" t="s">
        <v>0</v>
      </c>
      <c r="D9" s="32" t="s">
        <v>0</v>
      </c>
      <c r="E9" s="32" t="s">
        <v>0</v>
      </c>
      <c r="F9" s="32" t="s">
        <v>0</v>
      </c>
      <c r="G9" s="32"/>
      <c r="H9" s="32"/>
      <c r="I9" s="32" t="s">
        <v>0</v>
      </c>
      <c r="J9" s="28"/>
      <c r="L9" s="12"/>
      <c r="M9" s="12"/>
    </row>
    <row r="10" spans="1:13" ht="16.5">
      <c r="A10" s="33" t="s">
        <v>0</v>
      </c>
      <c r="B10" s="33" t="s">
        <v>3</v>
      </c>
      <c r="C10" s="33" t="s">
        <v>5</v>
      </c>
      <c r="D10" s="33" t="s">
        <v>21</v>
      </c>
      <c r="E10" s="33" t="s">
        <v>0</v>
      </c>
      <c r="F10" s="33" t="s">
        <v>50</v>
      </c>
      <c r="G10" s="33" t="s">
        <v>124</v>
      </c>
      <c r="H10" s="33" t="s">
        <v>471</v>
      </c>
      <c r="I10" s="33" t="s">
        <v>124</v>
      </c>
      <c r="J10" s="33" t="s">
        <v>47</v>
      </c>
      <c r="L10" s="12"/>
      <c r="M10" s="12"/>
    </row>
    <row r="11" spans="1:13" ht="17.25" thickBot="1">
      <c r="A11" s="35" t="s">
        <v>2</v>
      </c>
      <c r="B11" s="35" t="s">
        <v>4</v>
      </c>
      <c r="C11" s="35" t="s">
        <v>6</v>
      </c>
      <c r="D11" s="35" t="s">
        <v>23</v>
      </c>
      <c r="E11" s="35" t="s">
        <v>22</v>
      </c>
      <c r="F11" s="35" t="s">
        <v>48</v>
      </c>
      <c r="G11" s="35" t="s">
        <v>48</v>
      </c>
      <c r="H11" s="35" t="s">
        <v>48</v>
      </c>
      <c r="I11" s="35" t="s">
        <v>48</v>
      </c>
      <c r="J11" s="35" t="s">
        <v>49</v>
      </c>
      <c r="L11" s="12"/>
      <c r="M11" s="12"/>
    </row>
    <row r="12" spans="1:13" ht="16.5">
      <c r="A12" s="37" t="s">
        <v>7</v>
      </c>
      <c r="B12" s="37" t="s">
        <v>7</v>
      </c>
      <c r="C12" s="37" t="s">
        <v>7</v>
      </c>
      <c r="D12" s="37" t="s">
        <v>7</v>
      </c>
      <c r="E12" s="37" t="s">
        <v>7</v>
      </c>
      <c r="F12" s="37" t="s">
        <v>0</v>
      </c>
      <c r="G12" s="37" t="s">
        <v>0</v>
      </c>
      <c r="H12" s="37" t="s">
        <v>0</v>
      </c>
      <c r="I12" s="37" t="s">
        <v>0</v>
      </c>
      <c r="J12" s="37" t="s">
        <v>0</v>
      </c>
      <c r="L12" s="12"/>
      <c r="M12" s="12"/>
    </row>
    <row r="13" spans="1:13" ht="16.5">
      <c r="A13" s="33"/>
      <c r="B13" s="33"/>
      <c r="C13" s="33"/>
      <c r="D13" s="33"/>
      <c r="E13" s="33"/>
      <c r="F13" s="33"/>
      <c r="G13" s="33"/>
      <c r="H13" s="33"/>
      <c r="I13" s="33"/>
      <c r="J13" s="33"/>
      <c r="L13" s="12"/>
      <c r="M13" s="12"/>
    </row>
    <row r="14" spans="1:13" ht="16.5">
      <c r="A14" s="12"/>
      <c r="B14" s="12"/>
      <c r="C14" s="12"/>
      <c r="D14" s="12"/>
      <c r="E14" s="12"/>
      <c r="F14" s="12"/>
      <c r="G14" s="12"/>
      <c r="H14" s="12"/>
      <c r="I14" s="12"/>
      <c r="J14" s="12"/>
      <c r="L14" s="12"/>
      <c r="M14" s="12"/>
    </row>
    <row r="15" spans="1:13" ht="17.25">
      <c r="A15" s="60" t="str">
        <f>+'S&amp;D'!A22</f>
        <v>Energy Transfer LP</v>
      </c>
      <c r="B15" s="89" t="str">
        <f>+'S&amp;D'!B22</f>
        <v>ET</v>
      </c>
      <c r="C15" s="33" t="str">
        <f>+'S&amp;D'!C22</f>
        <v>Pipeline MLPs</v>
      </c>
      <c r="D15" s="51">
        <f>+'Beta for CAPM'!D18</f>
        <v>0.08</v>
      </c>
      <c r="E15" s="33" t="str">
        <f>+'Beta for CAPM'!G18</f>
        <v>B++</v>
      </c>
      <c r="F15" s="89" t="s">
        <v>294</v>
      </c>
      <c r="G15" s="273">
        <v>11</v>
      </c>
      <c r="H15" s="59" t="s">
        <v>53</v>
      </c>
      <c r="I15" s="273">
        <v>11</v>
      </c>
      <c r="J15" s="63">
        <f>VLOOKUP(I15,$B$33:$D$56,3,0)</f>
        <v>5.8999999999999997E-2</v>
      </c>
      <c r="L15" s="12"/>
      <c r="M15" s="12"/>
    </row>
    <row r="16" spans="1:13" ht="17.25">
      <c r="A16" s="60" t="str">
        <f>+'S&amp;D'!A23</f>
        <v>Enterprise Products Partnership LP</v>
      </c>
      <c r="B16" s="89" t="str">
        <f>+'S&amp;D'!B23</f>
        <v>EPD</v>
      </c>
      <c r="C16" s="33" t="str">
        <f>+'S&amp;D'!C23</f>
        <v>Pipeline MLPs</v>
      </c>
      <c r="D16" s="51">
        <f>+'Beta for CAPM'!D19</f>
        <v>1.4999999999999999E-2</v>
      </c>
      <c r="E16" s="33" t="str">
        <f>+'Beta for CAPM'!G19</f>
        <v>A</v>
      </c>
      <c r="F16" s="89" t="s">
        <v>59</v>
      </c>
      <c r="G16" s="273">
        <v>9</v>
      </c>
      <c r="H16" s="59" t="s">
        <v>57</v>
      </c>
      <c r="I16" s="273">
        <v>9</v>
      </c>
      <c r="J16" s="63">
        <f t="shared" ref="J16:J20" si="0">VLOOKUP(I16,$B$33:$D$56,3,0)</f>
        <v>5.6300000000000003E-2</v>
      </c>
      <c r="L16" s="12"/>
      <c r="M16" s="12"/>
    </row>
    <row r="17" spans="1:13" ht="17.25">
      <c r="A17" s="60" t="str">
        <f>+'S&amp;D'!A24</f>
        <v>Hess Midstream LP</v>
      </c>
      <c r="B17" s="89" t="str">
        <f>+'S&amp;D'!B24</f>
        <v>HESM</v>
      </c>
      <c r="C17" s="33" t="str">
        <f>+'S&amp;D'!C24</f>
        <v>Pipeline MLPs</v>
      </c>
      <c r="D17" s="51">
        <f>+'Beta for CAPM'!D20</f>
        <v>0.05</v>
      </c>
      <c r="E17" s="33" t="str">
        <f>+'Beta for CAPM'!G20</f>
        <v>B+</v>
      </c>
      <c r="F17" s="89" t="s">
        <v>295</v>
      </c>
      <c r="G17" s="273">
        <v>12</v>
      </c>
      <c r="H17" s="59" t="s">
        <v>56</v>
      </c>
      <c r="I17" s="273">
        <v>12</v>
      </c>
      <c r="J17" s="63">
        <f t="shared" si="0"/>
        <v>5.8999999999999997E-2</v>
      </c>
      <c r="L17" s="12"/>
      <c r="M17" s="12"/>
    </row>
    <row r="18" spans="1:13" ht="17.25">
      <c r="A18" s="60" t="str">
        <f>+'S&amp;D'!A25</f>
        <v>MPLX, LP</v>
      </c>
      <c r="B18" s="89" t="str">
        <f>+'S&amp;D'!B25</f>
        <v>MPLX</v>
      </c>
      <c r="C18" s="33" t="str">
        <f>+'S&amp;D'!C25</f>
        <v>Pipeline MLPs</v>
      </c>
      <c r="D18" s="51">
        <f>+'Beta for CAPM'!D21</f>
        <v>0.03</v>
      </c>
      <c r="E18" s="33" t="str">
        <f>+'Beta for CAPM'!G21</f>
        <v>B++</v>
      </c>
      <c r="F18" s="89" t="s">
        <v>294</v>
      </c>
      <c r="G18" s="273">
        <v>11</v>
      </c>
      <c r="H18" s="59" t="s">
        <v>53</v>
      </c>
      <c r="I18" s="273">
        <v>11</v>
      </c>
      <c r="J18" s="63">
        <f t="shared" si="0"/>
        <v>5.8999999999999997E-2</v>
      </c>
      <c r="L18" s="12"/>
      <c r="M18" s="12"/>
    </row>
    <row r="19" spans="1:13" ht="17.25">
      <c r="A19" s="60" t="str">
        <f>+'S&amp;D'!A26</f>
        <v>Plains All American Pipeline LP</v>
      </c>
      <c r="B19" s="89" t="str">
        <f>+'S&amp;D'!B26</f>
        <v>PAA</v>
      </c>
      <c r="C19" s="33" t="str">
        <f>+'S&amp;D'!C26</f>
        <v>Pipeline MLPs</v>
      </c>
      <c r="D19" s="51">
        <f>+'Beta for CAPM'!D22</f>
        <v>0.03</v>
      </c>
      <c r="E19" s="33" t="str">
        <f>+'Beta for CAPM'!G22</f>
        <v>B++</v>
      </c>
      <c r="F19" s="89" t="s">
        <v>294</v>
      </c>
      <c r="G19" s="273">
        <v>11</v>
      </c>
      <c r="H19" s="59" t="s">
        <v>53</v>
      </c>
      <c r="I19" s="273">
        <v>11</v>
      </c>
      <c r="J19" s="63">
        <f t="shared" si="0"/>
        <v>5.8999999999999997E-2</v>
      </c>
      <c r="L19" s="12"/>
      <c r="M19" s="12"/>
    </row>
    <row r="20" spans="1:13" ht="17.25">
      <c r="A20" s="60" t="str">
        <f>+'S&amp;D'!A27</f>
        <v>Western Midstream Partners LP</v>
      </c>
      <c r="B20" s="89" t="str">
        <f>+'S&amp;D'!B27</f>
        <v>WES</v>
      </c>
      <c r="C20" s="33" t="str">
        <f>+'S&amp;D'!C27</f>
        <v>Pipeline MLPs</v>
      </c>
      <c r="D20" s="51">
        <f>+'Beta for CAPM'!D23</f>
        <v>0.01</v>
      </c>
      <c r="E20" s="33" t="str">
        <f>+'Beta for CAPM'!G23</f>
        <v>B++</v>
      </c>
      <c r="F20" s="89" t="s">
        <v>295</v>
      </c>
      <c r="G20" s="273">
        <v>12</v>
      </c>
      <c r="H20" s="59" t="s">
        <v>58</v>
      </c>
      <c r="I20" s="273">
        <v>12</v>
      </c>
      <c r="J20" s="63">
        <f t="shared" si="0"/>
        <v>5.8999999999999997E-2</v>
      </c>
      <c r="L20" s="12"/>
      <c r="M20" s="12"/>
    </row>
    <row r="21" spans="1:13" ht="17.25" thickBot="1">
      <c r="A21" s="12"/>
      <c r="B21" s="12"/>
      <c r="C21" s="42"/>
      <c r="D21" s="45"/>
      <c r="E21" s="45"/>
      <c r="F21" s="45"/>
      <c r="G21" s="45"/>
      <c r="H21" s="45" t="s">
        <v>44</v>
      </c>
      <c r="I21" s="45"/>
      <c r="J21" s="45"/>
      <c r="L21" s="12"/>
      <c r="M21" s="12"/>
    </row>
    <row r="22" spans="1:13" ht="17.25" thickTop="1">
      <c r="A22" s="12"/>
      <c r="B22" s="12"/>
      <c r="E22" s="14" t="s">
        <v>45</v>
      </c>
      <c r="G22" s="274">
        <f>MAX(G15:G20)</f>
        <v>12</v>
      </c>
      <c r="H22" s="298"/>
      <c r="I22" s="323">
        <f>MAX(I15:I20)</f>
        <v>12</v>
      </c>
      <c r="J22" s="298">
        <f>MAX(J15:J20)</f>
        <v>5.8999999999999997E-2</v>
      </c>
      <c r="L22" s="12"/>
      <c r="M22" s="12"/>
    </row>
    <row r="23" spans="1:13" ht="16.5">
      <c r="A23" s="12"/>
      <c r="B23" s="12"/>
      <c r="E23" s="329" t="s">
        <v>46</v>
      </c>
      <c r="F23" s="228"/>
      <c r="G23" s="275">
        <f>MIN(G15:G20)</f>
        <v>9</v>
      </c>
      <c r="H23" s="299"/>
      <c r="I23" s="324">
        <f>MIN(I15:I20)</f>
        <v>9</v>
      </c>
      <c r="J23" s="299">
        <f>MIN(J15:J20)</f>
        <v>5.6300000000000003E-2</v>
      </c>
      <c r="L23" s="12"/>
      <c r="M23" s="12"/>
    </row>
    <row r="24" spans="1:13" ht="16.5">
      <c r="A24" s="12"/>
      <c r="B24" s="12"/>
      <c r="E24" s="14" t="s">
        <v>18</v>
      </c>
      <c r="G24" s="201">
        <f>MEDIAN(G15:G20)</f>
        <v>11</v>
      </c>
      <c r="H24" s="53" t="s">
        <v>0</v>
      </c>
      <c r="I24" s="202">
        <f>MEDIAN(I15:I20)</f>
        <v>11</v>
      </c>
      <c r="J24" s="53">
        <f>MEDIAN(J15:J20)</f>
        <v>5.8999999999999997E-2</v>
      </c>
      <c r="L24" s="12"/>
      <c r="M24" s="12"/>
    </row>
    <row r="25" spans="1:13" ht="16.5">
      <c r="A25" s="12"/>
      <c r="B25" s="12"/>
      <c r="D25" s="14" t="s">
        <v>0</v>
      </c>
      <c r="E25" s="14" t="s">
        <v>392</v>
      </c>
      <c r="G25" s="202">
        <f>AVERAGE(G15:G20)</f>
        <v>11</v>
      </c>
      <c r="H25" s="53" t="s">
        <v>0</v>
      </c>
      <c r="I25" s="202">
        <f>AVERAGE(I15:I20)</f>
        <v>11</v>
      </c>
      <c r="J25" s="53">
        <f>AVERAGE(J15:J20)</f>
        <v>5.8549999999999998E-2</v>
      </c>
      <c r="L25" s="12"/>
      <c r="M25" s="12"/>
    </row>
    <row r="26" spans="1:13" ht="16.5">
      <c r="A26" s="12"/>
      <c r="B26" s="12"/>
      <c r="D26" s="54"/>
      <c r="E26" s="14"/>
      <c r="G26" s="202"/>
      <c r="H26" s="53"/>
      <c r="I26" s="202"/>
      <c r="J26" s="53"/>
      <c r="L26" s="12"/>
      <c r="M26" s="12"/>
    </row>
    <row r="27" spans="1:13" ht="17.25" thickBot="1">
      <c r="A27" s="12"/>
      <c r="B27" s="12"/>
      <c r="C27" s="12"/>
      <c r="D27" s="12"/>
      <c r="E27" s="14"/>
      <c r="F27" s="54"/>
      <c r="H27" s="12"/>
      <c r="I27" s="12"/>
      <c r="J27" s="12"/>
      <c r="K27" s="12"/>
      <c r="L27" s="12"/>
      <c r="M27" s="12"/>
    </row>
    <row r="28" spans="1:13" ht="27" thickBot="1">
      <c r="A28" s="12"/>
      <c r="B28" s="12"/>
      <c r="C28" s="12"/>
      <c r="D28" s="12"/>
      <c r="E28" s="12"/>
      <c r="F28" s="174"/>
      <c r="G28" s="310"/>
      <c r="H28" s="175" t="s">
        <v>227</v>
      </c>
      <c r="I28" s="177"/>
      <c r="J28" s="176">
        <v>5.8599999999999999E-2</v>
      </c>
      <c r="K28" s="12"/>
      <c r="L28" s="12"/>
      <c r="M28" s="12"/>
    </row>
    <row r="29" spans="1:13" ht="16.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 ht="16.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ht="21" thickBot="1">
      <c r="A31" s="262" t="s">
        <v>137</v>
      </c>
      <c r="B31" s="12"/>
      <c r="G31" s="12"/>
      <c r="H31" s="12"/>
      <c r="I31" s="12"/>
      <c r="J31" s="12"/>
      <c r="K31" s="12"/>
      <c r="L31" s="12"/>
      <c r="M31" s="12"/>
    </row>
    <row r="32" spans="1:13" ht="24">
      <c r="A32" s="387" t="s">
        <v>472</v>
      </c>
      <c r="B32" s="387" t="s">
        <v>304</v>
      </c>
      <c r="C32" s="387" t="s">
        <v>393</v>
      </c>
      <c r="D32" s="407" t="s">
        <v>425</v>
      </c>
      <c r="E32" s="407" t="s">
        <v>426</v>
      </c>
      <c r="F32" s="12"/>
      <c r="G32" s="12"/>
      <c r="H32" s="12"/>
      <c r="I32" s="12"/>
      <c r="M32" s="12"/>
    </row>
    <row r="33" spans="1:13" ht="17.25">
      <c r="A33" s="268" t="s">
        <v>316</v>
      </c>
      <c r="B33" s="272">
        <v>1</v>
      </c>
      <c r="C33" s="269" t="s">
        <v>315</v>
      </c>
      <c r="D33" s="388">
        <v>5.3100000000000001E-2</v>
      </c>
      <c r="E33" s="388">
        <v>5.3100000000000001E-2</v>
      </c>
      <c r="F33" s="12"/>
      <c r="G33" s="12"/>
      <c r="H33" s="12"/>
      <c r="I33" s="12"/>
      <c r="M33" s="12"/>
    </row>
    <row r="34" spans="1:13" ht="17.25">
      <c r="A34" s="55" t="s">
        <v>317</v>
      </c>
      <c r="B34" s="263">
        <v>2</v>
      </c>
      <c r="C34" s="270" t="s">
        <v>289</v>
      </c>
      <c r="D34" s="388">
        <v>5.3100000000000001E-2</v>
      </c>
      <c r="E34" s="388">
        <v>5.3100000000000001E-2</v>
      </c>
      <c r="F34" s="12" t="s">
        <v>184</v>
      </c>
      <c r="H34" s="12"/>
      <c r="I34" s="12"/>
      <c r="M34" s="12"/>
    </row>
    <row r="35" spans="1:13" ht="18" thickBot="1">
      <c r="A35" s="56" t="s">
        <v>318</v>
      </c>
      <c r="B35" s="265">
        <v>3</v>
      </c>
      <c r="C35" s="271" t="s">
        <v>314</v>
      </c>
      <c r="D35" s="389">
        <v>5.3100000000000001E-2</v>
      </c>
      <c r="E35" s="388">
        <v>5.3100000000000001E-2</v>
      </c>
      <c r="F35" s="12"/>
      <c r="H35" s="12"/>
      <c r="I35" s="12"/>
      <c r="M35" s="12"/>
    </row>
    <row r="36" spans="1:13" ht="17.25">
      <c r="A36" s="55" t="s">
        <v>136</v>
      </c>
      <c r="B36" s="263">
        <v>4</v>
      </c>
      <c r="C36" s="264" t="s">
        <v>288</v>
      </c>
      <c r="D36" s="388">
        <v>5.4899999999999997E-2</v>
      </c>
      <c r="E36" s="388">
        <v>5.57E-2</v>
      </c>
      <c r="F36" s="12"/>
      <c r="H36" s="12"/>
      <c r="I36" s="12"/>
      <c r="M36" s="12"/>
    </row>
    <row r="37" spans="1:13" ht="17.25">
      <c r="A37" s="55" t="s">
        <v>135</v>
      </c>
      <c r="B37" s="263">
        <v>5</v>
      </c>
      <c r="C37" s="264" t="s">
        <v>290</v>
      </c>
      <c r="D37" s="388">
        <v>5.4899999999999997E-2</v>
      </c>
      <c r="E37" s="388">
        <v>5.57E-2</v>
      </c>
      <c r="F37" s="12" t="s">
        <v>291</v>
      </c>
      <c r="H37" s="12"/>
      <c r="I37" s="12"/>
      <c r="M37" s="12"/>
    </row>
    <row r="38" spans="1:13" ht="18" thickBot="1">
      <c r="A38" s="56" t="s">
        <v>134</v>
      </c>
      <c r="B38" s="265">
        <v>6</v>
      </c>
      <c r="C38" s="266" t="s">
        <v>292</v>
      </c>
      <c r="D38" s="390">
        <v>5.4899999999999997E-2</v>
      </c>
      <c r="E38" s="388">
        <v>5.57E-2</v>
      </c>
      <c r="F38" s="12"/>
      <c r="H38" s="12"/>
      <c r="I38" s="12"/>
      <c r="M38" s="12"/>
    </row>
    <row r="39" spans="1:13" ht="17.25">
      <c r="A39" s="55" t="s">
        <v>55</v>
      </c>
      <c r="B39" s="263">
        <v>7</v>
      </c>
      <c r="C39" s="264" t="s">
        <v>43</v>
      </c>
      <c r="D39" s="391">
        <v>5.6300000000000003E-2</v>
      </c>
      <c r="E39" s="392">
        <v>5.6800000000000003E-2</v>
      </c>
      <c r="H39" s="12"/>
      <c r="I39" s="12"/>
      <c r="M39" s="12"/>
    </row>
    <row r="40" spans="1:13" ht="17.25">
      <c r="A40" s="55" t="s">
        <v>133</v>
      </c>
      <c r="B40" s="263">
        <v>8</v>
      </c>
      <c r="C40" s="264" t="s">
        <v>24</v>
      </c>
      <c r="D40" s="392">
        <v>5.6300000000000003E-2</v>
      </c>
      <c r="E40" s="392">
        <v>5.6800000000000003E-2</v>
      </c>
      <c r="F40" s="12" t="s">
        <v>185</v>
      </c>
      <c r="H40" s="12"/>
      <c r="I40" s="12"/>
      <c r="M40" s="12"/>
    </row>
    <row r="41" spans="1:13" ht="18" thickBot="1">
      <c r="A41" s="56" t="s">
        <v>57</v>
      </c>
      <c r="B41" s="265">
        <v>9</v>
      </c>
      <c r="C41" s="266" t="s">
        <v>59</v>
      </c>
      <c r="D41" s="390">
        <v>5.6300000000000003E-2</v>
      </c>
      <c r="E41" s="392">
        <v>5.6800000000000003E-2</v>
      </c>
      <c r="F41" s="12"/>
      <c r="H41" s="12"/>
      <c r="I41" s="12"/>
      <c r="M41" s="12"/>
    </row>
    <row r="42" spans="1:13" ht="17.25">
      <c r="A42" s="55" t="s">
        <v>52</v>
      </c>
      <c r="B42" s="263">
        <v>10</v>
      </c>
      <c r="C42" s="264" t="s">
        <v>293</v>
      </c>
      <c r="D42" s="392">
        <v>5.8999999999999997E-2</v>
      </c>
      <c r="E42" s="392">
        <v>5.8799999999999998E-2</v>
      </c>
      <c r="H42" s="12"/>
      <c r="I42" s="12"/>
      <c r="J42" s="12"/>
      <c r="K42" s="12"/>
      <c r="L42" s="12"/>
      <c r="M42" s="12"/>
    </row>
    <row r="43" spans="1:13" ht="17.25">
      <c r="A43" s="55" t="s">
        <v>53</v>
      </c>
      <c r="B43" s="263">
        <v>11</v>
      </c>
      <c r="C43" s="264" t="s">
        <v>294</v>
      </c>
      <c r="D43" s="392">
        <v>5.8999999999999997E-2</v>
      </c>
      <c r="E43" s="392">
        <v>5.8799999999999998E-2</v>
      </c>
      <c r="F43" s="12" t="s">
        <v>188</v>
      </c>
      <c r="H43" s="12"/>
      <c r="I43" s="12"/>
      <c r="J43" s="12"/>
      <c r="K43" s="12"/>
      <c r="L43" s="12"/>
      <c r="M43" s="12"/>
    </row>
    <row r="44" spans="1:13" ht="18" thickBot="1">
      <c r="A44" s="56" t="s">
        <v>58</v>
      </c>
      <c r="B44" s="265">
        <v>12</v>
      </c>
      <c r="C44" s="266" t="s">
        <v>295</v>
      </c>
      <c r="D44" s="392">
        <v>5.8999999999999997E-2</v>
      </c>
      <c r="E44" s="392">
        <v>5.8799999999999998E-2</v>
      </c>
      <c r="F44" s="12"/>
      <c r="H44" s="12"/>
      <c r="I44" s="12"/>
      <c r="J44" s="12"/>
      <c r="K44" s="12"/>
      <c r="L44" s="12"/>
      <c r="M44" s="12"/>
    </row>
    <row r="45" spans="1:13" ht="17.25">
      <c r="A45" s="55" t="s">
        <v>56</v>
      </c>
      <c r="B45" s="263">
        <v>13</v>
      </c>
      <c r="C45" s="264" t="s">
        <v>296</v>
      </c>
      <c r="D45" s="391">
        <v>8.1299999999999997E-2</v>
      </c>
      <c r="E45" s="388">
        <v>8.14E-2</v>
      </c>
      <c r="H45" s="12"/>
      <c r="I45" s="12"/>
      <c r="J45" s="12"/>
      <c r="K45" s="12"/>
      <c r="L45" s="12"/>
      <c r="M45" s="12"/>
    </row>
    <row r="46" spans="1:13" ht="17.25">
      <c r="A46" s="55" t="s">
        <v>132</v>
      </c>
      <c r="B46" s="263">
        <v>14</v>
      </c>
      <c r="C46" s="264" t="s">
        <v>297</v>
      </c>
      <c r="D46" s="388">
        <v>8.1299999999999997E-2</v>
      </c>
      <c r="E46" s="388">
        <v>8.14E-2</v>
      </c>
      <c r="F46" s="12" t="s">
        <v>187</v>
      </c>
      <c r="H46" s="12"/>
      <c r="I46" s="12"/>
      <c r="J46" s="12"/>
      <c r="K46" s="12"/>
      <c r="L46" s="12"/>
      <c r="M46" s="12"/>
    </row>
    <row r="47" spans="1:13" ht="18" thickBot="1">
      <c r="A47" s="56" t="s">
        <v>131</v>
      </c>
      <c r="B47" s="265">
        <v>15</v>
      </c>
      <c r="C47" s="266" t="s">
        <v>298</v>
      </c>
      <c r="D47" s="389">
        <v>8.1299999999999997E-2</v>
      </c>
      <c r="E47" s="388">
        <v>8.14E-2</v>
      </c>
      <c r="F47" s="12"/>
      <c r="H47" s="12"/>
      <c r="I47" s="12"/>
      <c r="J47" s="12"/>
      <c r="K47" s="12"/>
      <c r="L47" s="12"/>
      <c r="M47" s="12"/>
    </row>
    <row r="48" spans="1:13" ht="17.25">
      <c r="A48" s="55" t="s">
        <v>130</v>
      </c>
      <c r="B48" s="263">
        <v>16</v>
      </c>
      <c r="C48" s="264" t="s">
        <v>25</v>
      </c>
      <c r="D48" s="391">
        <v>8.9899999999999994E-2</v>
      </c>
      <c r="E48" s="392">
        <v>0.09</v>
      </c>
      <c r="H48" s="12"/>
      <c r="I48" s="12"/>
      <c r="J48" s="12"/>
      <c r="K48" s="12"/>
      <c r="L48" s="12"/>
      <c r="M48" s="12"/>
    </row>
    <row r="49" spans="1:13" ht="17.25">
      <c r="A49" s="55" t="s">
        <v>129</v>
      </c>
      <c r="B49" s="263">
        <v>17</v>
      </c>
      <c r="C49" s="264" t="s">
        <v>89</v>
      </c>
      <c r="D49" s="392">
        <v>8.9899999999999994E-2</v>
      </c>
      <c r="E49" s="392">
        <v>0.09</v>
      </c>
      <c r="F49" s="12" t="s">
        <v>186</v>
      </c>
      <c r="H49" s="12"/>
      <c r="I49" s="12"/>
      <c r="J49" s="12"/>
      <c r="K49" s="12"/>
      <c r="L49" s="12"/>
      <c r="M49" s="12"/>
    </row>
    <row r="50" spans="1:13" ht="18" thickBot="1">
      <c r="A50" s="56" t="s">
        <v>128</v>
      </c>
      <c r="B50" s="265">
        <v>18</v>
      </c>
      <c r="C50" s="266" t="s">
        <v>299</v>
      </c>
      <c r="D50" s="389">
        <v>8.9899999999999994E-2</v>
      </c>
      <c r="E50" s="392">
        <v>0.09</v>
      </c>
      <c r="F50" s="12"/>
      <c r="H50" s="12"/>
      <c r="I50" s="12"/>
      <c r="J50" s="12"/>
      <c r="K50" s="12"/>
      <c r="L50" s="12"/>
      <c r="M50" s="12"/>
    </row>
    <row r="51" spans="1:13" ht="17.25">
      <c r="A51" s="55" t="s">
        <v>127</v>
      </c>
      <c r="B51" s="263">
        <v>19</v>
      </c>
      <c r="C51" s="264" t="s">
        <v>300</v>
      </c>
      <c r="D51" s="392">
        <v>9.8500000000000004E-2</v>
      </c>
      <c r="E51" s="392">
        <v>9.8599999999999993E-2</v>
      </c>
      <c r="H51" s="12"/>
      <c r="I51" s="12"/>
      <c r="J51" s="12"/>
      <c r="K51" s="12"/>
      <c r="L51" s="12"/>
      <c r="M51" s="12"/>
    </row>
    <row r="52" spans="1:13" ht="17.25">
      <c r="A52" s="55" t="s">
        <v>126</v>
      </c>
      <c r="B52" s="263">
        <v>20</v>
      </c>
      <c r="C52" s="264" t="s">
        <v>301</v>
      </c>
      <c r="D52" s="392">
        <v>9.8500000000000004E-2</v>
      </c>
      <c r="E52" s="392">
        <v>9.8599999999999993E-2</v>
      </c>
      <c r="F52" s="12" t="s">
        <v>183</v>
      </c>
      <c r="H52" s="12"/>
      <c r="I52" s="12"/>
      <c r="J52" s="12"/>
      <c r="K52" s="12"/>
      <c r="L52" s="12"/>
      <c r="M52" s="12"/>
    </row>
    <row r="53" spans="1:13" ht="18" thickBot="1">
      <c r="A53" s="56" t="s">
        <v>125</v>
      </c>
      <c r="B53" s="265">
        <v>21</v>
      </c>
      <c r="C53" s="393" t="s">
        <v>302</v>
      </c>
      <c r="D53" s="390">
        <v>9.8500000000000004E-2</v>
      </c>
      <c r="E53" s="392">
        <v>9.8599999999999993E-2</v>
      </c>
      <c r="F53" s="12"/>
      <c r="H53" s="12"/>
      <c r="I53" s="12"/>
      <c r="J53" s="12"/>
      <c r="K53" s="12"/>
      <c r="L53" s="12"/>
      <c r="M53" s="12"/>
    </row>
    <row r="54" spans="1:13" ht="17.25">
      <c r="A54" s="394" t="s">
        <v>309</v>
      </c>
      <c r="B54" s="395">
        <v>22</v>
      </c>
      <c r="C54" s="396" t="s">
        <v>312</v>
      </c>
      <c r="D54" s="392"/>
      <c r="E54" s="392"/>
      <c r="H54" s="12"/>
      <c r="I54" s="12"/>
      <c r="J54" s="12"/>
      <c r="K54" s="12"/>
      <c r="L54" s="12"/>
      <c r="M54" s="12"/>
    </row>
    <row r="55" spans="1:13" ht="17.25">
      <c r="A55" s="394" t="s">
        <v>310</v>
      </c>
      <c r="B55" s="397">
        <v>23</v>
      </c>
      <c r="C55" s="398" t="s">
        <v>303</v>
      </c>
      <c r="D55" s="392"/>
      <c r="E55" s="392"/>
      <c r="F55" s="12" t="s">
        <v>181</v>
      </c>
      <c r="H55" s="12"/>
      <c r="I55" s="12"/>
      <c r="J55" s="12"/>
      <c r="K55" s="12"/>
      <c r="L55" s="12"/>
      <c r="M55" s="12"/>
    </row>
    <row r="56" spans="1:13" ht="18" thickBot="1">
      <c r="A56" s="399" t="s">
        <v>311</v>
      </c>
      <c r="B56" s="400">
        <v>24</v>
      </c>
      <c r="C56" s="393" t="s">
        <v>313</v>
      </c>
      <c r="D56" s="392"/>
      <c r="E56" s="392"/>
      <c r="F56" s="12"/>
      <c r="H56" s="12"/>
      <c r="I56" s="12"/>
      <c r="J56" s="12"/>
      <c r="K56" s="12"/>
      <c r="L56" s="12"/>
      <c r="M56" s="12"/>
    </row>
    <row r="57" spans="1:13" ht="18" thickBot="1">
      <c r="A57" s="56" t="s">
        <v>243</v>
      </c>
      <c r="B57" s="265">
        <v>25</v>
      </c>
      <c r="C57" s="56" t="s">
        <v>90</v>
      </c>
      <c r="D57" s="401"/>
      <c r="E57" s="401"/>
      <c r="F57" s="12" t="s">
        <v>182</v>
      </c>
      <c r="H57" s="12"/>
      <c r="I57" s="12"/>
      <c r="J57" s="12"/>
      <c r="K57" s="12"/>
      <c r="L57" s="12"/>
    </row>
  </sheetData>
  <pageMargins left="0.25" right="0.25" top="0.75" bottom="0.75" header="0.3" footer="0.3"/>
  <pageSetup scale="4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N37"/>
  <sheetViews>
    <sheetView view="pageBreakPreview" zoomScale="60" zoomScaleNormal="80" workbookViewId="0">
      <selection activeCell="D4" sqref="D4"/>
    </sheetView>
  </sheetViews>
  <sheetFormatPr defaultRowHeight="15"/>
  <cols>
    <col min="1" max="1" width="48.85546875" customWidth="1"/>
    <col min="2" max="2" width="13.140625" customWidth="1"/>
    <col min="3" max="3" width="19.85546875" customWidth="1"/>
    <col min="4" max="4" width="24.7109375" customWidth="1"/>
    <col min="5" max="5" width="22.7109375" customWidth="1"/>
    <col min="6" max="7" width="21.28515625" customWidth="1"/>
    <col min="8" max="8" width="12.42578125" customWidth="1"/>
    <col min="9" max="9" width="18.42578125" customWidth="1"/>
    <col min="10" max="10" width="21.28515625" customWidth="1"/>
    <col min="11" max="11" width="2.28515625" customWidth="1"/>
    <col min="12" max="12" width="22.7109375" customWidth="1"/>
    <col min="13" max="13" width="17.28515625" customWidth="1"/>
  </cols>
  <sheetData>
    <row r="1" spans="1:14" ht="26.25">
      <c r="A1" s="23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7.25">
      <c r="A2" s="60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6.5">
      <c r="A3" s="25" t="s">
        <v>475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6.5">
      <c r="A4" s="12"/>
      <c r="B4" s="12"/>
      <c r="C4" s="12"/>
      <c r="D4" s="506" t="s">
        <v>0</v>
      </c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18" thickBot="1">
      <c r="A5" s="60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18" thickBot="1">
      <c r="A6" s="248" t="str">
        <f>+'S&amp;D'!A12</f>
        <v>Liquid Transportation Pipeline Carriers</v>
      </c>
      <c r="B6" s="18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7.25">
      <c r="A7" s="60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18" thickBot="1">
      <c r="A8" s="60"/>
      <c r="B8" s="12"/>
      <c r="C8" s="28"/>
      <c r="D8" s="28"/>
      <c r="E8" s="28" t="s">
        <v>0</v>
      </c>
      <c r="F8" s="12" t="s">
        <v>0</v>
      </c>
      <c r="G8" s="12"/>
      <c r="H8" s="28"/>
      <c r="I8" s="28"/>
      <c r="J8" s="28"/>
      <c r="K8" s="28"/>
      <c r="L8" s="28"/>
      <c r="M8" s="28"/>
      <c r="N8" s="12"/>
    </row>
    <row r="9" spans="1:14" ht="26.25">
      <c r="B9" s="12"/>
      <c r="D9" s="30" t="s">
        <v>278</v>
      </c>
      <c r="F9" s="12"/>
      <c r="G9" s="12"/>
      <c r="H9" s="12"/>
      <c r="I9" s="12"/>
      <c r="J9" s="12"/>
      <c r="K9" s="66" t="s">
        <v>279</v>
      </c>
      <c r="L9" s="12"/>
      <c r="M9" s="12"/>
      <c r="N9" s="12"/>
    </row>
    <row r="10" spans="1:14" ht="21" thickBot="1">
      <c r="A10" s="29"/>
      <c r="B10" s="12"/>
      <c r="C10" s="28"/>
      <c r="D10" s="35" t="s">
        <v>487</v>
      </c>
      <c r="E10" s="28" t="s">
        <v>0</v>
      </c>
      <c r="F10" s="12"/>
      <c r="G10" s="12"/>
      <c r="H10" s="28"/>
      <c r="I10" s="28"/>
      <c r="J10" s="28"/>
      <c r="K10" s="35" t="s">
        <v>487</v>
      </c>
      <c r="L10" s="28"/>
      <c r="M10" s="28"/>
      <c r="N10" s="12"/>
    </row>
    <row r="11" spans="1:14" ht="17.25" thickBot="1">
      <c r="A11" s="32" t="s">
        <v>0</v>
      </c>
      <c r="B11" s="32" t="s">
        <v>0</v>
      </c>
      <c r="C11" s="32" t="s">
        <v>0</v>
      </c>
      <c r="D11" s="32" t="s">
        <v>0</v>
      </c>
      <c r="E11" s="32" t="s">
        <v>0</v>
      </c>
      <c r="F11" s="32" t="s">
        <v>0</v>
      </c>
      <c r="G11" s="39"/>
      <c r="H11" s="28"/>
      <c r="I11" s="32" t="s">
        <v>0</v>
      </c>
      <c r="J11" s="28"/>
      <c r="K11" s="28"/>
      <c r="L11" s="28"/>
      <c r="M11" s="28"/>
      <c r="N11" s="12"/>
    </row>
    <row r="12" spans="1:14" ht="16.5">
      <c r="A12" s="33" t="s">
        <v>0</v>
      </c>
      <c r="B12" s="33" t="s">
        <v>3</v>
      </c>
      <c r="C12" s="33" t="s">
        <v>319</v>
      </c>
      <c r="D12" s="33" t="s">
        <v>110</v>
      </c>
      <c r="E12" s="33" t="s">
        <v>110</v>
      </c>
      <c r="F12" s="33" t="s">
        <v>26</v>
      </c>
      <c r="G12" s="33"/>
      <c r="H12" s="33" t="s">
        <v>3</v>
      </c>
      <c r="I12" s="33" t="s">
        <v>319</v>
      </c>
      <c r="J12" s="33" t="s">
        <v>110</v>
      </c>
      <c r="K12" s="33"/>
      <c r="L12" s="33" t="s">
        <v>110</v>
      </c>
      <c r="M12" s="33" t="s">
        <v>26</v>
      </c>
      <c r="N12" s="12"/>
    </row>
    <row r="13" spans="1:14" ht="17.25" thickBot="1">
      <c r="A13" s="35" t="s">
        <v>2</v>
      </c>
      <c r="B13" s="35" t="s">
        <v>4</v>
      </c>
      <c r="C13" s="35" t="s">
        <v>27</v>
      </c>
      <c r="D13" s="35" t="s">
        <v>158</v>
      </c>
      <c r="E13" s="35" t="s">
        <v>28</v>
      </c>
      <c r="F13" s="35" t="s">
        <v>29</v>
      </c>
      <c r="G13" s="33"/>
      <c r="H13" s="35" t="s">
        <v>4</v>
      </c>
      <c r="I13" s="35" t="s">
        <v>27</v>
      </c>
      <c r="J13" s="35" t="s">
        <v>158</v>
      </c>
      <c r="K13" s="35"/>
      <c r="L13" s="35" t="s">
        <v>28</v>
      </c>
      <c r="M13" s="35" t="s">
        <v>29</v>
      </c>
      <c r="N13" s="12"/>
    </row>
    <row r="14" spans="1:14" ht="16.5">
      <c r="A14" s="37" t="s">
        <v>0</v>
      </c>
      <c r="B14" s="37" t="s">
        <v>0</v>
      </c>
      <c r="C14" s="38" t="s">
        <v>113</v>
      </c>
      <c r="D14" s="37" t="s">
        <v>114</v>
      </c>
      <c r="E14" s="37" t="s">
        <v>0</v>
      </c>
      <c r="F14" s="37" t="s">
        <v>0</v>
      </c>
      <c r="G14" s="39"/>
      <c r="H14" s="37" t="s">
        <v>0</v>
      </c>
      <c r="I14" s="38" t="s">
        <v>113</v>
      </c>
      <c r="J14" s="37" t="s">
        <v>115</v>
      </c>
      <c r="K14" s="37"/>
      <c r="L14" s="37" t="s">
        <v>0</v>
      </c>
      <c r="M14" s="37" t="s">
        <v>0</v>
      </c>
      <c r="N14" s="12"/>
    </row>
    <row r="15" spans="1:14" ht="16.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12"/>
    </row>
    <row r="16" spans="1:14" ht="16.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7.25">
      <c r="A17" s="60" t="str">
        <f>+'S&amp;D'!A22</f>
        <v>Energy Transfer LP</v>
      </c>
      <c r="B17" s="89" t="str">
        <f>+'S&amp;D'!B22</f>
        <v>ET</v>
      </c>
      <c r="C17" s="57">
        <f>+'S&amp;D'!G22</f>
        <v>16.489999999999998</v>
      </c>
      <c r="D17" s="59">
        <v>3</v>
      </c>
      <c r="E17" s="67">
        <f t="shared" ref="E17:E19" si="0">C17/D17</f>
        <v>5.4966666666666661</v>
      </c>
      <c r="F17" s="54">
        <f t="shared" ref="F17:F19" si="1">1/E17</f>
        <v>0.18192844147968468</v>
      </c>
      <c r="G17" s="54"/>
      <c r="H17" s="89" t="str">
        <f t="shared" ref="H17:H19" si="2">+B17</f>
        <v>ET</v>
      </c>
      <c r="I17" s="57">
        <f t="shared" ref="I17:I19" si="3">+C17</f>
        <v>16.489999999999998</v>
      </c>
      <c r="J17" s="286">
        <v>3.25</v>
      </c>
      <c r="K17" s="59"/>
      <c r="L17" s="67">
        <f t="shared" ref="L17:L19" si="4">I17/J17</f>
        <v>5.0738461538461532</v>
      </c>
      <c r="M17" s="54">
        <f t="shared" ref="M17:M19" si="5">1/L17</f>
        <v>0.19708914493632507</v>
      </c>
      <c r="N17" s="12"/>
    </row>
    <row r="18" spans="1:14" ht="17.25">
      <c r="A18" s="60" t="str">
        <f>+'S&amp;D'!A23</f>
        <v>Enterprise Products Partnership LP</v>
      </c>
      <c r="B18" s="89" t="str">
        <f>+'S&amp;D'!B23</f>
        <v>EPD</v>
      </c>
      <c r="C18" s="57">
        <f>+'S&amp;D'!G23</f>
        <v>32.06</v>
      </c>
      <c r="D18" s="59">
        <v>4.2</v>
      </c>
      <c r="E18" s="67">
        <f t="shared" si="0"/>
        <v>7.6333333333333337</v>
      </c>
      <c r="F18" s="54">
        <f t="shared" si="1"/>
        <v>0.13100436681222707</v>
      </c>
      <c r="G18" s="54"/>
      <c r="H18" s="89" t="str">
        <f t="shared" si="2"/>
        <v>EPD</v>
      </c>
      <c r="I18" s="57">
        <f t="shared" si="3"/>
        <v>32.06</v>
      </c>
      <c r="J18" s="286">
        <v>4.5999999999999996</v>
      </c>
      <c r="K18" s="59"/>
      <c r="L18" s="67">
        <f t="shared" ref="L18" si="6">I18/J18</f>
        <v>6.9695652173913052</v>
      </c>
      <c r="M18" s="54">
        <f t="shared" ref="M18" si="7">1/L18</f>
        <v>0.14348097317529629</v>
      </c>
      <c r="N18" s="12"/>
    </row>
    <row r="19" spans="1:14" ht="17.25">
      <c r="A19" s="60" t="str">
        <f>+'S&amp;D'!A24</f>
        <v>Hess Midstream LP</v>
      </c>
      <c r="B19" s="89" t="str">
        <f>+'S&amp;D'!B24</f>
        <v>HESM</v>
      </c>
      <c r="C19" s="57">
        <f>+'S&amp;D'!G24</f>
        <v>34.5</v>
      </c>
      <c r="D19" s="59">
        <v>4.5999999999999996</v>
      </c>
      <c r="E19" s="67">
        <f t="shared" si="0"/>
        <v>7.5000000000000009</v>
      </c>
      <c r="F19" s="54">
        <f t="shared" si="1"/>
        <v>0.1333333333333333</v>
      </c>
      <c r="G19" s="54"/>
      <c r="H19" s="89" t="str">
        <f t="shared" si="2"/>
        <v>HESM</v>
      </c>
      <c r="I19" s="57">
        <f t="shared" si="3"/>
        <v>34.5</v>
      </c>
      <c r="J19" s="286">
        <v>4.8</v>
      </c>
      <c r="K19" s="59"/>
      <c r="L19" s="67">
        <f t="shared" si="4"/>
        <v>7.1875</v>
      </c>
      <c r="M19" s="54">
        <f t="shared" si="5"/>
        <v>0.1391304347826087</v>
      </c>
      <c r="N19" s="12"/>
    </row>
    <row r="20" spans="1:14" ht="17.25">
      <c r="A20" s="60" t="str">
        <f>+'S&amp;D'!A25</f>
        <v>MPLX, LP</v>
      </c>
      <c r="B20" s="89" t="str">
        <f>+'S&amp;D'!B25</f>
        <v>MPLX</v>
      </c>
      <c r="C20" s="57">
        <f>+'S&amp;D'!G25</f>
        <v>53.37</v>
      </c>
      <c r="D20" s="59">
        <v>7</v>
      </c>
      <c r="E20" s="67">
        <f t="shared" ref="E20:E22" si="8">C20/D20</f>
        <v>7.6242857142857137</v>
      </c>
      <c r="F20" s="54">
        <f t="shared" ref="F20:F22" si="9">1/E20</f>
        <v>0.13115982761851228</v>
      </c>
      <c r="G20" s="54"/>
      <c r="H20" s="89" t="str">
        <f t="shared" ref="H20:H22" si="10">+B20</f>
        <v>MPLX</v>
      </c>
      <c r="I20" s="57">
        <f t="shared" ref="I20:I22" si="11">+C20</f>
        <v>53.37</v>
      </c>
      <c r="J20" s="286">
        <v>7.65</v>
      </c>
      <c r="K20" s="59"/>
      <c r="L20" s="67">
        <f t="shared" ref="L20:L22" si="12">I20/J20</f>
        <v>6.9764705882352933</v>
      </c>
      <c r="M20" s="54">
        <f t="shared" ref="M20:M22" si="13">1/L20</f>
        <v>0.14333895446880271</v>
      </c>
      <c r="N20" s="12"/>
    </row>
    <row r="21" spans="1:14" ht="17.25">
      <c r="A21" s="60" t="str">
        <f>+'S&amp;D'!A26</f>
        <v>Plains All American Pipeline LP</v>
      </c>
      <c r="B21" s="89" t="str">
        <f>+'S&amp;D'!B26</f>
        <v>PAA</v>
      </c>
      <c r="C21" s="57">
        <f>+'S&amp;D'!G26</f>
        <v>17.96</v>
      </c>
      <c r="D21" s="59">
        <v>3.05</v>
      </c>
      <c r="E21" s="67">
        <f t="shared" si="8"/>
        <v>5.8885245901639349</v>
      </c>
      <c r="F21" s="54">
        <f t="shared" si="9"/>
        <v>0.16982182628062359</v>
      </c>
      <c r="G21" s="54"/>
      <c r="H21" s="89" t="str">
        <f t="shared" si="10"/>
        <v>PAA</v>
      </c>
      <c r="I21" s="57">
        <f t="shared" si="11"/>
        <v>17.96</v>
      </c>
      <c r="J21" s="286">
        <v>3.5</v>
      </c>
      <c r="K21" s="59"/>
      <c r="L21" s="67">
        <f t="shared" si="12"/>
        <v>5.1314285714285717</v>
      </c>
      <c r="M21" s="54">
        <f t="shared" si="13"/>
        <v>0.19487750556792871</v>
      </c>
      <c r="N21" s="12"/>
    </row>
    <row r="22" spans="1:14" ht="17.25">
      <c r="A22" s="60" t="str">
        <f>+'S&amp;D'!A27</f>
        <v>Western Midstream Partners LP</v>
      </c>
      <c r="B22" s="89" t="str">
        <f>+'S&amp;D'!B27</f>
        <v>WES</v>
      </c>
      <c r="C22" s="57">
        <f>+'S&amp;D'!G27</f>
        <v>39.5</v>
      </c>
      <c r="D22" s="59">
        <v>5.5</v>
      </c>
      <c r="E22" s="67">
        <f t="shared" si="8"/>
        <v>7.1818181818181817</v>
      </c>
      <c r="F22" s="54">
        <f t="shared" si="9"/>
        <v>0.13924050632911392</v>
      </c>
      <c r="G22" s="54"/>
      <c r="H22" s="89" t="str">
        <f t="shared" si="10"/>
        <v>WES</v>
      </c>
      <c r="I22" s="57">
        <f t="shared" si="11"/>
        <v>39.5</v>
      </c>
      <c r="J22" s="286">
        <v>5.85</v>
      </c>
      <c r="K22" s="59"/>
      <c r="L22" s="67">
        <f t="shared" si="12"/>
        <v>6.7521367521367521</v>
      </c>
      <c r="M22" s="54">
        <f t="shared" si="13"/>
        <v>0.14810126582278482</v>
      </c>
      <c r="N22" s="12"/>
    </row>
    <row r="23" spans="1:14" ht="17.25" thickBot="1">
      <c r="A23" s="12"/>
      <c r="B23" s="68"/>
      <c r="C23" s="68"/>
      <c r="D23" s="68"/>
      <c r="E23" s="68"/>
      <c r="F23" s="68"/>
      <c r="G23" s="12"/>
      <c r="H23" s="68"/>
      <c r="I23" s="68"/>
      <c r="J23" s="287" t="s">
        <v>0</v>
      </c>
      <c r="K23" s="68"/>
      <c r="L23" s="68"/>
      <c r="M23" s="68"/>
      <c r="N23" s="12"/>
    </row>
    <row r="24" spans="1:14" ht="17.25" thickTop="1">
      <c r="A24" s="12"/>
      <c r="B24" s="14" t="s">
        <v>45</v>
      </c>
      <c r="C24" s="69">
        <f>MAX(C17:C22)</f>
        <v>53.37</v>
      </c>
      <c r="D24" s="69">
        <f>MAX(D17:D22)</f>
        <v>7</v>
      </c>
      <c r="E24" s="69">
        <f>MAX(E17:E22)</f>
        <v>7.6333333333333337</v>
      </c>
      <c r="F24" s="300">
        <f>MAX(F17:F22)</f>
        <v>0.18192844147968468</v>
      </c>
      <c r="H24" s="14"/>
      <c r="I24" s="69">
        <f>MAX(I17:I22)</f>
        <v>53.37</v>
      </c>
      <c r="J24" s="69">
        <f>MAX(J17:J22)</f>
        <v>7.65</v>
      </c>
      <c r="K24" s="69"/>
      <c r="L24" s="69">
        <f>MAX(L17:L22)</f>
        <v>7.1875</v>
      </c>
      <c r="M24" s="300">
        <f>MAX(M17:M22)</f>
        <v>0.19708914493632507</v>
      </c>
      <c r="N24" s="12"/>
    </row>
    <row r="25" spans="1:14" ht="16.5">
      <c r="A25" s="12"/>
      <c r="B25" s="329" t="s">
        <v>46</v>
      </c>
      <c r="C25" s="333">
        <f>MIN(C17:C22)</f>
        <v>16.489999999999998</v>
      </c>
      <c r="D25" s="333">
        <f>MIN(D17:D22)</f>
        <v>3</v>
      </c>
      <c r="E25" s="333">
        <f>MIN(E17:E22)</f>
        <v>5.4966666666666661</v>
      </c>
      <c r="F25" s="327">
        <f>MIN(F17:F22)</f>
        <v>0.13100436681222707</v>
      </c>
      <c r="H25" s="329"/>
      <c r="I25" s="333">
        <f t="shared" ref="I25:M25" si="14">MIN(I17:I22)</f>
        <v>16.489999999999998</v>
      </c>
      <c r="J25" s="333">
        <f t="shared" si="14"/>
        <v>3.25</v>
      </c>
      <c r="K25" s="333"/>
      <c r="L25" s="333">
        <f t="shared" si="14"/>
        <v>5.0738461538461532</v>
      </c>
      <c r="M25" s="327">
        <f t="shared" si="14"/>
        <v>0.1391304347826087</v>
      </c>
      <c r="N25" s="12"/>
    </row>
    <row r="26" spans="1:14" ht="16.5">
      <c r="A26" s="12"/>
      <c r="B26" s="14" t="s">
        <v>18</v>
      </c>
      <c r="C26" s="70">
        <f>MEDIAN(C17:C22)</f>
        <v>33.28</v>
      </c>
      <c r="D26" s="71">
        <f>MEDIAN(D17:D22)</f>
        <v>4.4000000000000004</v>
      </c>
      <c r="E26" s="21">
        <f>MEDIAN(E17:E22)</f>
        <v>7.3409090909090917</v>
      </c>
      <c r="F26" s="54">
        <f>MEDIAN(F17:F22)</f>
        <v>0.1362869198312236</v>
      </c>
      <c r="G26" s="54"/>
      <c r="H26" s="14" t="s">
        <v>18</v>
      </c>
      <c r="I26" s="70">
        <f>MEDIAN(I17:I22)</f>
        <v>33.28</v>
      </c>
      <c r="J26" s="71">
        <f>MEDIAN(J17:J22)</f>
        <v>4.6999999999999993</v>
      </c>
      <c r="K26" s="71"/>
      <c r="L26" s="21">
        <f>MEDIAN(L17:L22)</f>
        <v>6.8608509847640287</v>
      </c>
      <c r="M26" s="54">
        <f>MEDIAN(M17:M22)</f>
        <v>0.14579111949904056</v>
      </c>
      <c r="N26" s="12"/>
    </row>
    <row r="27" spans="1:14" ht="16.5">
      <c r="A27" s="12"/>
      <c r="B27" s="14" t="s">
        <v>392</v>
      </c>
      <c r="C27" s="21">
        <f>AVERAGE(C17:C22)</f>
        <v>32.313333333333333</v>
      </c>
      <c r="D27" s="17">
        <f>AVERAGE(D17:D22)</f>
        <v>4.5583333333333336</v>
      </c>
      <c r="E27" s="21">
        <f>AVERAGE(E17:E22)</f>
        <v>6.8874380810446381</v>
      </c>
      <c r="F27" s="72">
        <f>AVERAGE(F17:F22)</f>
        <v>0.1477480503089158</v>
      </c>
      <c r="G27" s="72"/>
      <c r="H27" s="14" t="s">
        <v>392</v>
      </c>
      <c r="I27" s="17">
        <f>AVERAGE(I17:I22)</f>
        <v>32.313333333333333</v>
      </c>
      <c r="J27" s="17">
        <f>AVERAGE(J17:J22)</f>
        <v>4.9416666666666664</v>
      </c>
      <c r="K27" s="17"/>
      <c r="L27" s="21">
        <f>AVERAGE(L17:L22)</f>
        <v>6.3484912138396794</v>
      </c>
      <c r="M27" s="72">
        <f>AVERAGE(M17:M22)</f>
        <v>0.16100304645895772</v>
      </c>
      <c r="N27" s="12"/>
    </row>
    <row r="28" spans="1:14" ht="16.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26.25">
      <c r="A29" s="12"/>
      <c r="B29" s="12"/>
      <c r="C29" s="12"/>
      <c r="D29" s="76" t="s">
        <v>74</v>
      </c>
      <c r="E29" s="406">
        <v>6.89</v>
      </c>
      <c r="F29" s="301">
        <v>0.1477</v>
      </c>
      <c r="G29" s="256"/>
      <c r="H29" s="12"/>
      <c r="I29" s="12"/>
      <c r="J29" s="76" t="s">
        <v>74</v>
      </c>
      <c r="K29" s="47"/>
      <c r="L29" s="302">
        <v>6.35</v>
      </c>
      <c r="M29" s="301">
        <v>0.161</v>
      </c>
      <c r="N29" s="12"/>
    </row>
    <row r="30" spans="1:14" ht="30" customHeight="1" thickBot="1">
      <c r="A30" s="12"/>
      <c r="B30" s="12"/>
      <c r="C30" s="12"/>
      <c r="D30" s="12"/>
      <c r="E30" s="12"/>
      <c r="G30" s="73"/>
      <c r="H30" s="12"/>
      <c r="I30" s="12"/>
      <c r="J30" s="12"/>
      <c r="K30" s="12"/>
      <c r="L30" s="12"/>
      <c r="M30" s="12"/>
      <c r="N30" s="12"/>
    </row>
    <row r="31" spans="1:14" ht="27" thickBot="1">
      <c r="A31" s="74" t="s">
        <v>0</v>
      </c>
      <c r="B31" s="12"/>
      <c r="C31" s="12"/>
      <c r="D31" s="12"/>
      <c r="E31" s="23" t="s">
        <v>118</v>
      </c>
      <c r="F31" s="23"/>
      <c r="G31" s="203">
        <f>(+E29+L29)/2</f>
        <v>6.6199999999999992</v>
      </c>
      <c r="H31" s="204">
        <f>(+F29+M29)/2</f>
        <v>0.15434999999999999</v>
      </c>
      <c r="K31" s="12"/>
      <c r="N31" s="12"/>
    </row>
    <row r="32" spans="1:14" ht="16.5">
      <c r="A32" s="74" t="s">
        <v>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1:14" ht="16.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6.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pans="1:14" ht="17.25">
      <c r="A35" s="106" t="s">
        <v>325</v>
      </c>
    </row>
    <row r="36" spans="1:14" ht="17.25">
      <c r="A36" s="106" t="s">
        <v>326</v>
      </c>
    </row>
    <row r="37" spans="1:14" ht="17.25">
      <c r="A37" s="106" t="s">
        <v>327</v>
      </c>
    </row>
  </sheetData>
  <pageMargins left="0.25" right="0.25" top="0.75" bottom="0.75" header="0.3" footer="0.3"/>
  <pageSetup scale="4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EAAB1-5671-4283-A0D0-11DDA5DBBF04}">
  <sheetPr>
    <tabColor rgb="FF92D050"/>
  </sheetPr>
  <dimension ref="A1:O57"/>
  <sheetViews>
    <sheetView view="pageBreakPreview" zoomScale="60" zoomScaleNormal="80" workbookViewId="0">
      <selection activeCell="E4" sqref="E4"/>
    </sheetView>
  </sheetViews>
  <sheetFormatPr defaultRowHeight="15"/>
  <cols>
    <col min="1" max="1" width="53.85546875" customWidth="1"/>
    <col min="2" max="2" width="8" customWidth="1"/>
    <col min="3" max="3" width="12.28515625" bestFit="1" customWidth="1"/>
    <col min="4" max="4" width="20.140625" customWidth="1"/>
    <col min="5" max="5" width="18.85546875" customWidth="1"/>
    <col min="6" max="6" width="19" customWidth="1"/>
    <col min="7" max="7" width="16.42578125" customWidth="1"/>
    <col min="8" max="10" width="19.28515625" customWidth="1"/>
    <col min="11" max="12" width="21.5703125" customWidth="1"/>
    <col min="13" max="13" width="18.28515625" customWidth="1"/>
  </cols>
  <sheetData>
    <row r="1" spans="1:15" ht="26.25">
      <c r="A1" s="23" t="s">
        <v>1</v>
      </c>
      <c r="B1" s="23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7.25">
      <c r="A2" s="60" t="s">
        <v>9</v>
      </c>
      <c r="B2" s="60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16.5">
      <c r="A3" s="25" t="s">
        <v>475</v>
      </c>
      <c r="B3" s="4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6.5">
      <c r="A4" s="12"/>
      <c r="B4" s="12"/>
      <c r="C4" s="12"/>
      <c r="D4" s="12"/>
      <c r="E4" s="506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ht="18" thickBot="1">
      <c r="A5" s="60"/>
      <c r="B5" s="60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ht="21" thickBot="1">
      <c r="A6" s="246" t="str">
        <f>+'S&amp;D'!A12</f>
        <v>Liquid Transportation Pipeline Carriers</v>
      </c>
      <c r="B6" s="249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18" thickBot="1">
      <c r="A7" s="60"/>
      <c r="B7" s="60"/>
      <c r="C7" s="28"/>
      <c r="D7" s="28"/>
      <c r="E7" s="28"/>
      <c r="F7" s="28"/>
      <c r="G7" s="28"/>
      <c r="H7" s="12"/>
      <c r="I7" s="28"/>
      <c r="J7" s="28"/>
      <c r="K7" s="28"/>
      <c r="L7" s="28"/>
      <c r="M7" s="28"/>
      <c r="N7" s="12"/>
      <c r="O7" s="12"/>
    </row>
    <row r="8" spans="1:15" ht="26.25">
      <c r="B8" s="29"/>
      <c r="C8" s="12"/>
      <c r="D8" s="12"/>
      <c r="E8" s="30" t="s">
        <v>430</v>
      </c>
      <c r="H8" s="12"/>
      <c r="I8" s="12"/>
      <c r="J8" s="12"/>
      <c r="K8" s="30" t="s">
        <v>220</v>
      </c>
      <c r="L8" s="12"/>
      <c r="M8" s="12"/>
      <c r="N8" s="12"/>
      <c r="O8" s="12"/>
    </row>
    <row r="9" spans="1:15" ht="21" thickBot="1">
      <c r="A9" s="29"/>
      <c r="B9" s="29"/>
      <c r="C9" s="148"/>
      <c r="D9" s="28"/>
      <c r="E9" s="35" t="s">
        <v>487</v>
      </c>
      <c r="F9" s="28"/>
      <c r="G9" s="28"/>
      <c r="H9" s="12"/>
      <c r="I9" s="28"/>
      <c r="J9" s="28"/>
      <c r="K9" s="35" t="s">
        <v>487</v>
      </c>
      <c r="L9" s="28"/>
      <c r="M9" s="28"/>
      <c r="N9" s="12"/>
      <c r="O9" s="12"/>
    </row>
    <row r="10" spans="1:15" ht="17.25" thickBot="1">
      <c r="A10" s="32" t="s">
        <v>0</v>
      </c>
      <c r="B10" s="32"/>
      <c r="C10" s="32" t="s">
        <v>0</v>
      </c>
      <c r="D10" s="32" t="s">
        <v>0</v>
      </c>
      <c r="E10" s="32" t="s">
        <v>0</v>
      </c>
      <c r="F10" s="32" t="s">
        <v>0</v>
      </c>
      <c r="G10" s="32" t="s">
        <v>0</v>
      </c>
      <c r="H10" s="12"/>
      <c r="I10" s="28"/>
      <c r="J10" s="28"/>
      <c r="K10" s="28"/>
      <c r="L10" s="28"/>
      <c r="M10" s="28"/>
      <c r="N10" s="12"/>
      <c r="O10" s="12"/>
    </row>
    <row r="11" spans="1:15" ht="16.5">
      <c r="A11" s="33" t="s">
        <v>0</v>
      </c>
      <c r="B11" s="33"/>
      <c r="C11" s="33" t="s">
        <v>3</v>
      </c>
      <c r="D11" s="33" t="s">
        <v>319</v>
      </c>
      <c r="E11" s="33" t="s">
        <v>321</v>
      </c>
      <c r="F11" s="33" t="s">
        <v>111</v>
      </c>
      <c r="G11" s="33" t="s">
        <v>26</v>
      </c>
      <c r="H11" s="12"/>
      <c r="I11" s="33" t="s">
        <v>3</v>
      </c>
      <c r="J11" s="33" t="s">
        <v>319</v>
      </c>
      <c r="K11" s="33" t="s">
        <v>321</v>
      </c>
      <c r="L11" s="33" t="s">
        <v>111</v>
      </c>
      <c r="M11" s="33" t="s">
        <v>26</v>
      </c>
      <c r="N11" s="12"/>
      <c r="O11" s="12"/>
    </row>
    <row r="12" spans="1:15" ht="17.25" thickBot="1">
      <c r="A12" s="35" t="s">
        <v>2</v>
      </c>
      <c r="B12" s="35"/>
      <c r="C12" s="35" t="s">
        <v>4</v>
      </c>
      <c r="D12" s="35" t="s">
        <v>27</v>
      </c>
      <c r="E12" s="35" t="s">
        <v>158</v>
      </c>
      <c r="F12" s="35" t="s">
        <v>28</v>
      </c>
      <c r="G12" s="35" t="s">
        <v>29</v>
      </c>
      <c r="H12" s="12"/>
      <c r="I12" s="35" t="s">
        <v>4</v>
      </c>
      <c r="J12" s="35" t="s">
        <v>27</v>
      </c>
      <c r="K12" s="35" t="s">
        <v>158</v>
      </c>
      <c r="L12" s="35" t="s">
        <v>28</v>
      </c>
      <c r="M12" s="35" t="s">
        <v>29</v>
      </c>
      <c r="N12" s="12"/>
      <c r="O12" s="12"/>
    </row>
    <row r="13" spans="1:15" ht="16.5">
      <c r="A13" s="37" t="s">
        <v>0</v>
      </c>
      <c r="B13" s="37"/>
      <c r="C13" s="37" t="s">
        <v>0</v>
      </c>
      <c r="D13" s="38" t="s">
        <v>113</v>
      </c>
      <c r="E13" s="75" t="s">
        <v>114</v>
      </c>
      <c r="F13" s="37" t="s">
        <v>0</v>
      </c>
      <c r="G13" s="37" t="s">
        <v>0</v>
      </c>
      <c r="H13" s="12"/>
      <c r="I13" s="37" t="s">
        <v>0</v>
      </c>
      <c r="J13" s="38" t="s">
        <v>113</v>
      </c>
      <c r="K13" s="75" t="s">
        <v>112</v>
      </c>
      <c r="L13" s="37" t="s">
        <v>0</v>
      </c>
      <c r="M13" s="37" t="s">
        <v>0</v>
      </c>
      <c r="N13" s="12"/>
      <c r="O13" s="12"/>
    </row>
    <row r="14" spans="1:15" ht="16.5">
      <c r="A14" s="33"/>
      <c r="B14" s="33"/>
      <c r="C14" s="33"/>
      <c r="D14" s="33"/>
      <c r="E14" s="33"/>
      <c r="F14" s="33"/>
      <c r="G14" s="33"/>
      <c r="H14" s="12"/>
      <c r="I14" s="33"/>
      <c r="J14" s="33"/>
      <c r="K14" s="33"/>
      <c r="L14" s="33"/>
      <c r="M14" s="33"/>
      <c r="N14" s="12"/>
      <c r="O14" s="12"/>
    </row>
    <row r="15" spans="1:15" ht="16.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 ht="17.25">
      <c r="A16" s="60" t="str">
        <f>+'S&amp;D'!A22</f>
        <v>Energy Transfer LP</v>
      </c>
      <c r="B16" s="60"/>
      <c r="C16" s="89" t="str">
        <f>+'S&amp;D'!B22</f>
        <v>ET</v>
      </c>
      <c r="D16" s="57">
        <f>'S&amp;D'!G22</f>
        <v>16.489999999999998</v>
      </c>
      <c r="E16" s="59">
        <f>+Earnings!E16</f>
        <v>1.4</v>
      </c>
      <c r="F16" s="67">
        <f t="shared" ref="F16:F18" si="0">D16/E16</f>
        <v>11.778571428571428</v>
      </c>
      <c r="G16" s="54">
        <f t="shared" ref="G16:G18" si="1">1/F16</f>
        <v>8.4899939357186177E-2</v>
      </c>
      <c r="H16" s="12"/>
      <c r="I16" s="33" t="str">
        <f t="shared" ref="I16:I18" si="2">+C16</f>
        <v>ET</v>
      </c>
      <c r="J16" s="57">
        <f t="shared" ref="J16:J18" si="3">+D16</f>
        <v>16.489999999999998</v>
      </c>
      <c r="K16" s="59">
        <f>+Earnings!G16</f>
        <v>1.5</v>
      </c>
      <c r="L16" s="67">
        <f t="shared" ref="L16:L18" si="4">J16/K16</f>
        <v>10.993333333333332</v>
      </c>
      <c r="M16" s="54">
        <f t="shared" ref="M16:M18" si="5">1/L16</f>
        <v>9.0964220739842339E-2</v>
      </c>
      <c r="N16" s="12"/>
      <c r="O16" s="12"/>
    </row>
    <row r="17" spans="1:15" ht="17.25">
      <c r="A17" s="60" t="str">
        <f>+'S&amp;D'!A23</f>
        <v>Enterprise Products Partnership LP</v>
      </c>
      <c r="B17" s="60"/>
      <c r="C17" s="89" t="str">
        <f>+'S&amp;D'!B23</f>
        <v>EPD</v>
      </c>
      <c r="D17" s="57">
        <f>'S&amp;D'!G23</f>
        <v>32.06</v>
      </c>
      <c r="E17" s="59">
        <f>+Earnings!E17</f>
        <v>2.8</v>
      </c>
      <c r="F17" s="67">
        <f t="shared" si="0"/>
        <v>11.450000000000001</v>
      </c>
      <c r="G17" s="54">
        <f t="shared" si="1"/>
        <v>8.7336244541484712E-2</v>
      </c>
      <c r="H17" s="12"/>
      <c r="I17" s="33" t="str">
        <f t="shared" si="2"/>
        <v>EPD</v>
      </c>
      <c r="J17" s="57">
        <f t="shared" si="3"/>
        <v>32.06</v>
      </c>
      <c r="K17" s="59">
        <f>+Earnings!G17</f>
        <v>3.05</v>
      </c>
      <c r="L17" s="67">
        <f t="shared" si="4"/>
        <v>10.511475409836066</v>
      </c>
      <c r="M17" s="54">
        <f t="shared" si="5"/>
        <v>9.5134123518402988E-2</v>
      </c>
      <c r="N17" s="12"/>
      <c r="O17" s="12"/>
    </row>
    <row r="18" spans="1:15" ht="17.25">
      <c r="A18" s="60" t="str">
        <f>+'S&amp;D'!A24</f>
        <v>Hess Midstream LP</v>
      </c>
      <c r="B18" s="60"/>
      <c r="C18" s="89" t="str">
        <f>+'S&amp;D'!B24</f>
        <v>HESM</v>
      </c>
      <c r="D18" s="57">
        <f>'S&amp;D'!G24</f>
        <v>34.5</v>
      </c>
      <c r="E18" s="59">
        <f>+Earnings!E18</f>
        <v>2.9</v>
      </c>
      <c r="F18" s="67">
        <f t="shared" si="0"/>
        <v>11.896551724137931</v>
      </c>
      <c r="G18" s="54">
        <f t="shared" si="1"/>
        <v>8.4057971014492763E-2</v>
      </c>
      <c r="H18" s="12"/>
      <c r="I18" s="33" t="str">
        <f t="shared" si="2"/>
        <v>HESM</v>
      </c>
      <c r="J18" s="57">
        <f t="shared" si="3"/>
        <v>34.5</v>
      </c>
      <c r="K18" s="59">
        <f>+Earnings!G18</f>
        <v>3</v>
      </c>
      <c r="L18" s="67">
        <f t="shared" si="4"/>
        <v>11.5</v>
      </c>
      <c r="M18" s="54">
        <f t="shared" si="5"/>
        <v>8.6956521739130432E-2</v>
      </c>
      <c r="N18" s="12"/>
      <c r="O18" s="12"/>
    </row>
    <row r="19" spans="1:15" ht="17.25">
      <c r="A19" s="60" t="str">
        <f>+'S&amp;D'!A25</f>
        <v>MPLX, LP</v>
      </c>
      <c r="B19" s="60"/>
      <c r="C19" s="89" t="str">
        <f>+'S&amp;D'!B25</f>
        <v>MPLX</v>
      </c>
      <c r="D19" s="57">
        <f>'S&amp;D'!G25</f>
        <v>53.37</v>
      </c>
      <c r="E19" s="59">
        <f>+Earnings!E19</f>
        <v>5.45</v>
      </c>
      <c r="F19" s="67">
        <f t="shared" ref="F19:F21" si="6">D19/E19</f>
        <v>9.7926605504587148</v>
      </c>
      <c r="G19" s="54">
        <f t="shared" ref="G19:G21" si="7">1/F19</f>
        <v>0.10211729436012743</v>
      </c>
      <c r="H19" s="12"/>
      <c r="I19" s="33" t="str">
        <f t="shared" ref="I19:I21" si="8">+C19</f>
        <v>MPLX</v>
      </c>
      <c r="J19" s="57">
        <f t="shared" ref="J19:J21" si="9">+D19</f>
        <v>53.37</v>
      </c>
      <c r="K19" s="59">
        <f>+Earnings!G19</f>
        <v>6</v>
      </c>
      <c r="L19" s="67">
        <f t="shared" ref="L19:L21" si="10">J19/K19</f>
        <v>8.8949999999999996</v>
      </c>
      <c r="M19" s="54">
        <f t="shared" ref="M19:M21" si="11">1/L19</f>
        <v>0.11242270938729623</v>
      </c>
      <c r="N19" s="12"/>
      <c r="O19" s="12"/>
    </row>
    <row r="20" spans="1:15" ht="17.25">
      <c r="A20" s="60" t="str">
        <f>+'S&amp;D'!A26</f>
        <v>Plains All American Pipeline LP</v>
      </c>
      <c r="B20" s="60"/>
      <c r="C20" s="89" t="str">
        <f>+'S&amp;D'!B26</f>
        <v>PAA</v>
      </c>
      <c r="D20" s="57">
        <f>'S&amp;D'!G26</f>
        <v>17.96</v>
      </c>
      <c r="E20" s="59">
        <f>+Earnings!E20</f>
        <v>1.5</v>
      </c>
      <c r="F20" s="67">
        <f t="shared" si="6"/>
        <v>11.973333333333334</v>
      </c>
      <c r="G20" s="54">
        <f t="shared" si="7"/>
        <v>8.3518930957683729E-2</v>
      </c>
      <c r="H20" s="12"/>
      <c r="I20" s="33" t="str">
        <f t="shared" si="8"/>
        <v>PAA</v>
      </c>
      <c r="J20" s="57">
        <f t="shared" si="9"/>
        <v>17.96</v>
      </c>
      <c r="K20" s="59">
        <f>+Earnings!G20</f>
        <v>1.6</v>
      </c>
      <c r="L20" s="67">
        <f t="shared" si="10"/>
        <v>11.225</v>
      </c>
      <c r="M20" s="54">
        <f t="shared" si="11"/>
        <v>8.9086859688195991E-2</v>
      </c>
      <c r="N20" s="12"/>
      <c r="O20" s="12"/>
    </row>
    <row r="21" spans="1:15" ht="17.25">
      <c r="A21" s="60" t="str">
        <f>+'S&amp;D'!A27</f>
        <v>Western Midstream Partners LP</v>
      </c>
      <c r="B21" s="60"/>
      <c r="C21" s="89" t="str">
        <f>+'S&amp;D'!B27</f>
        <v>WES</v>
      </c>
      <c r="D21" s="57">
        <f>'S&amp;D'!G27</f>
        <v>39.5</v>
      </c>
      <c r="E21" s="59">
        <f>+Earnings!E21</f>
        <v>3.65</v>
      </c>
      <c r="F21" s="67">
        <f t="shared" si="6"/>
        <v>10.821917808219178</v>
      </c>
      <c r="G21" s="54">
        <f t="shared" si="7"/>
        <v>9.2405063291139247E-2</v>
      </c>
      <c r="H21" s="12"/>
      <c r="I21" s="33" t="str">
        <f t="shared" si="8"/>
        <v>WES</v>
      </c>
      <c r="J21" s="57">
        <f t="shared" si="9"/>
        <v>39.5</v>
      </c>
      <c r="K21" s="59">
        <f>+Earnings!G21</f>
        <v>3.9</v>
      </c>
      <c r="L21" s="67">
        <f t="shared" si="10"/>
        <v>10.128205128205128</v>
      </c>
      <c r="M21" s="54">
        <f t="shared" si="11"/>
        <v>9.8734177215189872E-2</v>
      </c>
      <c r="N21" s="12"/>
      <c r="O21" s="12"/>
    </row>
    <row r="22" spans="1:15" ht="18" thickBot="1">
      <c r="A22" s="12"/>
      <c r="B22" s="12"/>
      <c r="C22" s="68"/>
      <c r="D22" s="68"/>
      <c r="E22" s="68"/>
      <c r="F22" s="68"/>
      <c r="G22" s="68"/>
      <c r="H22" s="12"/>
      <c r="I22" s="68"/>
      <c r="J22" s="62" t="s">
        <v>0</v>
      </c>
      <c r="K22" s="68"/>
      <c r="L22" s="68"/>
      <c r="M22" s="68"/>
      <c r="N22" s="12"/>
      <c r="O22" s="12"/>
    </row>
    <row r="23" spans="1:15" ht="17.25" thickTop="1">
      <c r="A23" s="12"/>
      <c r="B23" s="12"/>
      <c r="C23" s="14" t="s">
        <v>45</v>
      </c>
      <c r="D23" s="69">
        <f>MAX(D16:D21)</f>
        <v>53.37</v>
      </c>
      <c r="E23" s="69">
        <f>MAX(E16:E21)</f>
        <v>5.45</v>
      </c>
      <c r="F23" s="69">
        <f>MAX(F16:F21)</f>
        <v>11.973333333333334</v>
      </c>
      <c r="G23" s="300">
        <f>MAX(G16:G21)</f>
        <v>0.10211729436012743</v>
      </c>
      <c r="H23" s="12"/>
      <c r="I23" s="14" t="s">
        <v>45</v>
      </c>
      <c r="J23" s="69">
        <f>MAX(J16:J21)</f>
        <v>53.37</v>
      </c>
      <c r="K23" s="69">
        <f>MAX(K16:K21)</f>
        <v>6</v>
      </c>
      <c r="L23" s="69">
        <f>MAX(L16:L21)</f>
        <v>11.5</v>
      </c>
      <c r="M23" s="300">
        <f>MAX(M16:M21)</f>
        <v>0.11242270938729623</v>
      </c>
      <c r="N23" s="12"/>
      <c r="O23" s="12"/>
    </row>
    <row r="24" spans="1:15" ht="16.5">
      <c r="A24" s="12"/>
      <c r="B24" s="12"/>
      <c r="C24" s="329" t="s">
        <v>46</v>
      </c>
      <c r="D24" s="333">
        <f>MIN(D16:D21)</f>
        <v>16.489999999999998</v>
      </c>
      <c r="E24" s="333">
        <f>MIN(E16:E21)</f>
        <v>1.4</v>
      </c>
      <c r="F24" s="333">
        <f>MIN(F16:F21)</f>
        <v>9.7926605504587148</v>
      </c>
      <c r="G24" s="327">
        <f>MIN(G16:G21)</f>
        <v>8.3518930957683729E-2</v>
      </c>
      <c r="H24" s="12"/>
      <c r="I24" s="329" t="s">
        <v>46</v>
      </c>
      <c r="J24" s="333">
        <f>MIN(J16:J21)</f>
        <v>16.489999999999998</v>
      </c>
      <c r="K24" s="333">
        <f>MIN(K16:K21)</f>
        <v>1.5</v>
      </c>
      <c r="L24" s="333">
        <f>MIN(L16:L21)</f>
        <v>8.8949999999999996</v>
      </c>
      <c r="M24" s="327">
        <f>MIN(M16:M21)</f>
        <v>8.6956521739130432E-2</v>
      </c>
      <c r="N24" s="12"/>
      <c r="O24" s="12"/>
    </row>
    <row r="25" spans="1:15" ht="16.5">
      <c r="A25" s="12"/>
      <c r="B25" s="12"/>
      <c r="C25" s="14" t="s">
        <v>18</v>
      </c>
      <c r="D25" s="70">
        <f>MEDIAN(D16:D21)</f>
        <v>33.28</v>
      </c>
      <c r="E25" s="71">
        <f>MEDIAN(E16:E21)</f>
        <v>2.8499999999999996</v>
      </c>
      <c r="F25" s="21">
        <f>MEDIAN(F16:F21)</f>
        <v>11.614285714285714</v>
      </c>
      <c r="G25" s="54">
        <f>MEDIAN(G16:G21)</f>
        <v>8.6118091949335451E-2</v>
      </c>
      <c r="H25" s="12"/>
      <c r="I25" s="14" t="s">
        <v>18</v>
      </c>
      <c r="J25" s="70">
        <f>MEDIAN(J16:J21)</f>
        <v>33.28</v>
      </c>
      <c r="K25" s="71">
        <f>MEDIAN(K16:K21)</f>
        <v>3.0249999999999999</v>
      </c>
      <c r="L25" s="21">
        <f>MEDIAN(L16:L21)</f>
        <v>10.752404371584699</v>
      </c>
      <c r="M25" s="54">
        <f>MEDIAN(M16:M21)</f>
        <v>9.304917212912267E-2</v>
      </c>
      <c r="N25" s="12"/>
      <c r="O25" s="12"/>
    </row>
    <row r="26" spans="1:15" ht="16.5">
      <c r="A26" s="12"/>
      <c r="B26" s="12"/>
      <c r="C26" s="14" t="s">
        <v>392</v>
      </c>
      <c r="D26" s="21">
        <f>AVERAGE(D16:D21)</f>
        <v>32.313333333333333</v>
      </c>
      <c r="E26" s="17">
        <f>AVERAGE(E16:E21)</f>
        <v>2.9499999999999997</v>
      </c>
      <c r="F26" s="21">
        <f>AVERAGE(F16:F21)</f>
        <v>11.285505807453431</v>
      </c>
      <c r="G26" s="72">
        <f>AVERAGE(G16:G21)</f>
        <v>8.9055907253685673E-2</v>
      </c>
      <c r="H26" s="12"/>
      <c r="I26" s="14" t="s">
        <v>392</v>
      </c>
      <c r="J26" s="21">
        <f>AVERAGE(J16:J21)</f>
        <v>32.313333333333333</v>
      </c>
      <c r="K26" s="17">
        <f>AVERAGE(K16:K21)</f>
        <v>3.1750000000000003</v>
      </c>
      <c r="L26" s="21">
        <f>AVERAGE(L16:L21)</f>
        <v>10.542168978562422</v>
      </c>
      <c r="M26" s="72">
        <f>AVERAGE(M16:M21)</f>
        <v>9.5549768714676298E-2</v>
      </c>
      <c r="N26" s="12"/>
      <c r="O26" s="12"/>
    </row>
    <row r="27" spans="1:15" ht="16.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 ht="26.25">
      <c r="A28" s="12"/>
      <c r="B28" s="12"/>
      <c r="C28" s="12"/>
      <c r="D28" s="12"/>
      <c r="E28" s="76" t="s">
        <v>74</v>
      </c>
      <c r="F28" s="303">
        <v>11.29</v>
      </c>
      <c r="G28" s="301">
        <v>8.9099999999999999E-2</v>
      </c>
      <c r="H28" s="12"/>
      <c r="I28" s="12"/>
      <c r="J28" s="12"/>
      <c r="K28" s="76" t="s">
        <v>74</v>
      </c>
      <c r="L28" s="303">
        <v>10.54</v>
      </c>
      <c r="M28" s="301">
        <v>9.5500000000000002E-2</v>
      </c>
      <c r="N28" s="12"/>
      <c r="O28" s="12"/>
    </row>
    <row r="29" spans="1:15" ht="16.5">
      <c r="A29" s="12"/>
      <c r="B29" s="12"/>
      <c r="C29" s="12"/>
      <c r="D29" s="12"/>
      <c r="E29" s="12"/>
      <c r="F29" s="12"/>
      <c r="K29" s="12"/>
      <c r="L29" s="12"/>
      <c r="M29" s="12"/>
      <c r="N29" s="12"/>
      <c r="O29" s="12"/>
    </row>
    <row r="30" spans="1:15" ht="30" customHeight="1">
      <c r="A30" s="12"/>
      <c r="B30" s="12"/>
      <c r="C30" s="12"/>
      <c r="D30" s="12"/>
      <c r="E30" s="12"/>
      <c r="F30" s="12"/>
      <c r="K30" s="12"/>
      <c r="L30" s="12"/>
      <c r="M30" s="12"/>
      <c r="N30" s="12"/>
      <c r="O30" s="12"/>
    </row>
    <row r="31" spans="1:15" ht="17.25" thickBot="1">
      <c r="A31" s="12"/>
      <c r="B31" s="12"/>
      <c r="C31" s="12"/>
      <c r="D31" s="12"/>
      <c r="E31" s="12"/>
      <c r="F31" s="12"/>
      <c r="K31" s="12"/>
      <c r="L31" s="12"/>
      <c r="M31" s="12"/>
      <c r="N31" s="12"/>
      <c r="O31" s="12"/>
    </row>
    <row r="32" spans="1:15" ht="30.75" customHeight="1" thickBot="1">
      <c r="A32" s="74" t="s">
        <v>0</v>
      </c>
      <c r="B32" s="74"/>
      <c r="C32" s="12"/>
      <c r="D32" s="12"/>
      <c r="E32" s="12"/>
      <c r="G32" s="23" t="s">
        <v>118</v>
      </c>
      <c r="H32" s="12"/>
      <c r="I32" s="205">
        <f>(+F28+L28)/2</f>
        <v>10.914999999999999</v>
      </c>
      <c r="J32" s="206">
        <f>(+G28+M28)/2</f>
        <v>9.2299999999999993E-2</v>
      </c>
      <c r="N32" s="12"/>
      <c r="O32" s="12"/>
    </row>
    <row r="33" spans="1:15" ht="16.5">
      <c r="A33" s="74" t="s">
        <v>0</v>
      </c>
      <c r="B33" s="74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15" ht="16.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1:15" ht="16.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1:15" ht="15.75" thickBot="1">
      <c r="B36" s="148"/>
      <c r="C36" s="148"/>
      <c r="D36" s="148"/>
      <c r="E36" s="148"/>
      <c r="F36" s="148"/>
      <c r="G36" s="148"/>
    </row>
    <row r="37" spans="1:15" ht="26.25">
      <c r="C37" s="12"/>
      <c r="D37" s="12"/>
      <c r="E37" s="30" t="s">
        <v>225</v>
      </c>
      <c r="F37" s="12"/>
      <c r="G37" s="12"/>
    </row>
    <row r="38" spans="1:15" ht="21" thickBot="1">
      <c r="A38" s="29"/>
      <c r="B38" s="148"/>
      <c r="C38" s="28"/>
      <c r="D38" s="28"/>
      <c r="E38" s="35" t="s">
        <v>487</v>
      </c>
      <c r="F38" s="28"/>
      <c r="G38" s="28"/>
    </row>
    <row r="39" spans="1:15" ht="15.75" thickBot="1">
      <c r="A39" s="32" t="s">
        <v>0</v>
      </c>
      <c r="B39" s="148"/>
      <c r="C39" s="32" t="s">
        <v>0</v>
      </c>
      <c r="D39" s="32" t="s">
        <v>0</v>
      </c>
      <c r="E39" s="32" t="s">
        <v>0</v>
      </c>
      <c r="F39" s="32" t="s">
        <v>0</v>
      </c>
      <c r="G39" s="32" t="s">
        <v>0</v>
      </c>
    </row>
    <row r="40" spans="1:15" ht="16.5">
      <c r="A40" s="33" t="s">
        <v>0</v>
      </c>
      <c r="C40" s="33" t="s">
        <v>3</v>
      </c>
      <c r="D40" s="33" t="s">
        <v>319</v>
      </c>
      <c r="E40" s="33" t="s">
        <v>321</v>
      </c>
      <c r="F40" s="33" t="s">
        <v>111</v>
      </c>
      <c r="G40" s="33" t="s">
        <v>26</v>
      </c>
    </row>
    <row r="41" spans="1:15" ht="17.25" thickBot="1">
      <c r="A41" s="35" t="s">
        <v>2</v>
      </c>
      <c r="B41" s="148"/>
      <c r="C41" s="35" t="s">
        <v>4</v>
      </c>
      <c r="D41" s="35" t="s">
        <v>27</v>
      </c>
      <c r="E41" s="35" t="s">
        <v>158</v>
      </c>
      <c r="F41" s="35" t="s">
        <v>28</v>
      </c>
      <c r="G41" s="35" t="s">
        <v>29</v>
      </c>
    </row>
    <row r="42" spans="1:15">
      <c r="A42" s="37" t="s">
        <v>0</v>
      </c>
      <c r="C42" s="37" t="s">
        <v>0</v>
      </c>
      <c r="D42" s="38" t="s">
        <v>113</v>
      </c>
      <c r="E42" s="75" t="s">
        <v>226</v>
      </c>
      <c r="F42" s="37" t="s">
        <v>0</v>
      </c>
      <c r="G42" s="37" t="s">
        <v>0</v>
      </c>
    </row>
    <row r="43" spans="1:15" ht="16.5">
      <c r="A43" s="33"/>
      <c r="C43" s="33"/>
      <c r="D43" s="33"/>
      <c r="E43" s="33"/>
      <c r="F43" s="33"/>
      <c r="G43" s="33"/>
    </row>
    <row r="44" spans="1:15" ht="16.5">
      <c r="A44" s="12"/>
      <c r="C44" s="12"/>
      <c r="D44" s="12"/>
      <c r="E44" s="12"/>
      <c r="F44" s="12"/>
      <c r="G44" s="12"/>
    </row>
    <row r="45" spans="1:15" ht="17.25">
      <c r="A45" s="60" t="str">
        <f>+'S&amp;D'!A22</f>
        <v>Energy Transfer LP</v>
      </c>
      <c r="C45" s="89" t="str">
        <f>+'S&amp;D'!B22</f>
        <v>ET</v>
      </c>
      <c r="D45" s="57">
        <f>'S&amp;D'!G22</f>
        <v>16.489999999999998</v>
      </c>
      <c r="E45" s="59">
        <f>+Earnings!I16</f>
        <v>2</v>
      </c>
      <c r="F45" s="67">
        <f t="shared" ref="F45:F50" si="12">D45/E45</f>
        <v>8.2449999999999992</v>
      </c>
      <c r="G45" s="54">
        <f t="shared" ref="G45:G50" si="13">1/F45</f>
        <v>0.12128562765312312</v>
      </c>
    </row>
    <row r="46" spans="1:15" ht="17.25">
      <c r="A46" s="60" t="str">
        <f>+'S&amp;D'!A23</f>
        <v>Enterprise Products Partnership LP</v>
      </c>
      <c r="C46" s="89" t="str">
        <f>+'S&amp;D'!B23</f>
        <v>EPD</v>
      </c>
      <c r="D46" s="57">
        <f>'S&amp;D'!G23</f>
        <v>32.06</v>
      </c>
      <c r="E46" s="59">
        <f>+Earnings!I17</f>
        <v>3.8</v>
      </c>
      <c r="F46" s="67">
        <f t="shared" si="12"/>
        <v>8.4368421052631586</v>
      </c>
      <c r="G46" s="54">
        <f t="shared" si="13"/>
        <v>0.11852776044915782</v>
      </c>
    </row>
    <row r="47" spans="1:15" ht="17.25">
      <c r="A47" s="60" t="str">
        <f>+'S&amp;D'!A24</f>
        <v>Hess Midstream LP</v>
      </c>
      <c r="C47" s="89" t="str">
        <f>+'S&amp;D'!B24</f>
        <v>HESM</v>
      </c>
      <c r="D47" s="57">
        <f>'S&amp;D'!G24</f>
        <v>34.5</v>
      </c>
      <c r="E47" s="59">
        <f>+Earnings!I18</f>
        <v>4</v>
      </c>
      <c r="F47" s="67">
        <f t="shared" si="12"/>
        <v>8.625</v>
      </c>
      <c r="G47" s="54">
        <f t="shared" si="13"/>
        <v>0.11594202898550725</v>
      </c>
    </row>
    <row r="48" spans="1:15" ht="17.25">
      <c r="A48" s="60" t="str">
        <f>+'S&amp;D'!A25</f>
        <v>MPLX, LP</v>
      </c>
      <c r="C48" s="89" t="str">
        <f>+'S&amp;D'!B25</f>
        <v>MPLX</v>
      </c>
      <c r="D48" s="57">
        <f>'S&amp;D'!G25</f>
        <v>53.37</v>
      </c>
      <c r="E48" s="59">
        <f>+Earnings!I19</f>
        <v>7.3</v>
      </c>
      <c r="F48" s="67">
        <f t="shared" si="12"/>
        <v>7.3109589041095893</v>
      </c>
      <c r="G48" s="54">
        <f t="shared" si="13"/>
        <v>0.13678096308787707</v>
      </c>
    </row>
    <row r="49" spans="1:7" ht="17.25">
      <c r="A49" s="60" t="str">
        <f>+'S&amp;D'!A26</f>
        <v>Plains All American Pipeline LP</v>
      </c>
      <c r="C49" s="89" t="str">
        <f>+'S&amp;D'!B26</f>
        <v>PAA</v>
      </c>
      <c r="D49" s="57">
        <f>'S&amp;D'!G26</f>
        <v>17.96</v>
      </c>
      <c r="E49" s="59">
        <f>+Earnings!I20</f>
        <v>2.35</v>
      </c>
      <c r="F49" s="67">
        <f t="shared" si="12"/>
        <v>7.6425531914893616</v>
      </c>
      <c r="G49" s="54">
        <f t="shared" si="13"/>
        <v>0.13084632516703787</v>
      </c>
    </row>
    <row r="50" spans="1:7" ht="17.25">
      <c r="A50" s="60" t="str">
        <f>+'S&amp;D'!A27</f>
        <v>Western Midstream Partners LP</v>
      </c>
      <c r="C50" s="89" t="str">
        <f>+'S&amp;D'!B27</f>
        <v>WES</v>
      </c>
      <c r="D50" s="57">
        <f>'S&amp;D'!G27</f>
        <v>39.5</v>
      </c>
      <c r="E50" s="59">
        <f>+Earnings!I21</f>
        <v>5.4</v>
      </c>
      <c r="F50" s="67">
        <f t="shared" si="12"/>
        <v>7.314814814814814</v>
      </c>
      <c r="G50" s="54">
        <f t="shared" si="13"/>
        <v>0.13670886075949368</v>
      </c>
    </row>
    <row r="51" spans="1:7" ht="17.25" thickBot="1">
      <c r="A51" s="12"/>
      <c r="D51" s="68"/>
      <c r="E51" s="68"/>
      <c r="F51" s="68"/>
      <c r="G51" s="68"/>
    </row>
    <row r="52" spans="1:7" ht="17.25" thickTop="1">
      <c r="A52" s="12"/>
      <c r="D52" s="14" t="s">
        <v>45</v>
      </c>
      <c r="E52" s="69">
        <f>MAX(E45:E50)</f>
        <v>7.3</v>
      </c>
      <c r="F52" s="69">
        <f>MAX(F45:F50)</f>
        <v>8.625</v>
      </c>
      <c r="G52" s="300">
        <f>MAX(G45:G50)</f>
        <v>0.13678096308787707</v>
      </c>
    </row>
    <row r="53" spans="1:7" ht="16.5">
      <c r="A53" s="12"/>
      <c r="D53" s="14" t="s">
        <v>46</v>
      </c>
      <c r="E53" s="333">
        <f t="shared" ref="E53:G53" si="14">MIN(E45:E50)</f>
        <v>2</v>
      </c>
      <c r="F53" s="333">
        <f t="shared" si="14"/>
        <v>7.3109589041095893</v>
      </c>
      <c r="G53" s="327">
        <f t="shared" si="14"/>
        <v>0.11594202898550725</v>
      </c>
    </row>
    <row r="54" spans="1:7" ht="16.5">
      <c r="A54" s="12"/>
      <c r="D54" s="14" t="s">
        <v>18</v>
      </c>
      <c r="E54" s="71">
        <f>MEDIAN(E45:E50)</f>
        <v>3.9</v>
      </c>
      <c r="F54" s="21">
        <f>MEDIAN(F45:F50)</f>
        <v>7.94377659574468</v>
      </c>
      <c r="G54" s="54">
        <f>MEDIAN(G45:G50)</f>
        <v>0.12606597641008049</v>
      </c>
    </row>
    <row r="55" spans="1:7" ht="16.5">
      <c r="A55" s="12"/>
      <c r="D55" s="14" t="s">
        <v>392</v>
      </c>
      <c r="E55" s="17">
        <f>AVERAGE(E45:E50)</f>
        <v>4.1416666666666666</v>
      </c>
      <c r="F55" s="21">
        <f>AVERAGE(F45:F50)</f>
        <v>7.9291948359461548</v>
      </c>
      <c r="G55" s="72">
        <f>AVERAGE(G45:G50)</f>
        <v>0.12668192768369946</v>
      </c>
    </row>
    <row r="56" spans="1:7" ht="16.5">
      <c r="A56" s="12"/>
      <c r="C56" s="12"/>
      <c r="D56" s="12"/>
      <c r="E56" s="12"/>
      <c r="F56" s="12"/>
      <c r="G56" s="12"/>
    </row>
    <row r="57" spans="1:7" ht="26.25">
      <c r="A57" s="12"/>
      <c r="C57" s="12"/>
      <c r="D57" s="12"/>
      <c r="E57" s="76" t="s">
        <v>74</v>
      </c>
      <c r="F57" s="303">
        <v>7.93</v>
      </c>
      <c r="G57" s="301">
        <v>0.12670000000000001</v>
      </c>
    </row>
  </sheetData>
  <pageMargins left="0.25" right="0.25" top="0.75" bottom="0.75" header="0.3" footer="0.3"/>
  <pageSetup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84C78-2832-4744-9CC1-C220D4428439}">
  <sheetPr>
    <tabColor rgb="FF92D050"/>
    <pageSetUpPr fitToPage="1"/>
  </sheetPr>
  <dimension ref="A1:J84"/>
  <sheetViews>
    <sheetView view="pageBreakPreview" topLeftCell="A55" zoomScale="60" zoomScaleNormal="80" workbookViewId="0">
      <selection activeCell="A74" sqref="A74"/>
    </sheetView>
  </sheetViews>
  <sheetFormatPr defaultRowHeight="15"/>
  <cols>
    <col min="1" max="1" width="74.5703125" customWidth="1"/>
    <col min="2" max="2" width="21.7109375" customWidth="1"/>
    <col min="3" max="3" width="24.5703125" customWidth="1"/>
    <col min="4" max="4" width="29.42578125" customWidth="1"/>
    <col min="5" max="5" width="30.5703125" customWidth="1"/>
    <col min="6" max="6" width="32.140625" customWidth="1"/>
    <col min="7" max="7" width="27" customWidth="1"/>
    <col min="8" max="8" width="13.7109375" customWidth="1"/>
    <col min="9" max="9" width="13.85546875" customWidth="1"/>
    <col min="10" max="11" width="14.140625" bestFit="1" customWidth="1"/>
  </cols>
  <sheetData>
    <row r="1" spans="1:10" ht="26.25">
      <c r="A1" s="23" t="s">
        <v>1</v>
      </c>
      <c r="B1" s="23"/>
      <c r="C1" s="23"/>
      <c r="D1" s="12"/>
      <c r="E1" s="12"/>
      <c r="F1" s="12"/>
      <c r="G1" s="12"/>
      <c r="H1" s="12"/>
      <c r="I1" s="12"/>
      <c r="J1" s="12"/>
    </row>
    <row r="2" spans="1:10" ht="17.25">
      <c r="A2" s="24" t="s">
        <v>9</v>
      </c>
      <c r="B2" s="24"/>
      <c r="C2" s="24"/>
      <c r="D2" s="12"/>
      <c r="E2" s="12"/>
      <c r="F2" s="12"/>
      <c r="G2" s="12"/>
      <c r="H2" s="12"/>
      <c r="I2" s="12"/>
      <c r="J2" s="12"/>
    </row>
    <row r="3" spans="1:10" ht="16.5">
      <c r="A3" s="25" t="s">
        <v>475</v>
      </c>
      <c r="B3" s="25"/>
      <c r="C3" s="25"/>
      <c r="D3" s="12"/>
      <c r="E3" s="12"/>
      <c r="F3" s="12"/>
      <c r="G3" s="12"/>
      <c r="H3" s="12"/>
      <c r="I3" s="12"/>
      <c r="J3" s="12"/>
    </row>
    <row r="4" spans="1:10" ht="16.5">
      <c r="A4" s="25"/>
      <c r="B4" s="25"/>
      <c r="C4" s="25"/>
      <c r="D4" s="12"/>
      <c r="E4" s="12"/>
      <c r="F4" s="12"/>
      <c r="G4" s="12"/>
      <c r="H4" s="12"/>
      <c r="I4" s="12"/>
      <c r="J4" s="12"/>
    </row>
    <row r="5" spans="1:10" ht="17.25" thickBot="1">
      <c r="A5" s="12"/>
      <c r="B5" s="12"/>
      <c r="C5" s="12"/>
      <c r="D5" s="12"/>
      <c r="E5" s="12"/>
      <c r="F5" s="12"/>
      <c r="G5" s="12"/>
      <c r="H5" s="506" t="s">
        <v>0</v>
      </c>
      <c r="I5" s="26"/>
      <c r="J5" s="12"/>
    </row>
    <row r="6" spans="1:10" ht="21" thickBot="1">
      <c r="A6" s="27" t="str">
        <f>+'S&amp;D'!A12</f>
        <v>Liquid Transportation Pipeline Carriers</v>
      </c>
      <c r="B6" s="12"/>
      <c r="C6" s="12"/>
      <c r="D6" s="28"/>
      <c r="E6" s="28"/>
      <c r="F6" s="28"/>
      <c r="G6" s="12"/>
      <c r="H6" s="12"/>
      <c r="I6" s="12"/>
      <c r="J6" s="12"/>
    </row>
    <row r="7" spans="1:10" ht="26.25">
      <c r="B7" s="29"/>
      <c r="C7" s="29"/>
      <c r="D7" s="12"/>
      <c r="E7" s="30" t="s">
        <v>197</v>
      </c>
      <c r="F7" s="12"/>
      <c r="G7" s="12"/>
      <c r="H7" s="12"/>
      <c r="I7" s="12"/>
      <c r="J7" s="12"/>
    </row>
    <row r="8" spans="1:10" ht="21" thickBot="1">
      <c r="A8" s="29"/>
      <c r="B8" s="29"/>
      <c r="C8" s="29"/>
      <c r="D8" s="28"/>
      <c r="E8" s="149" t="s">
        <v>487</v>
      </c>
      <c r="F8" s="28" t="s">
        <v>0</v>
      </c>
      <c r="G8" s="12"/>
      <c r="H8" s="12"/>
      <c r="I8" s="12"/>
      <c r="J8" s="12"/>
    </row>
    <row r="9" spans="1:10" ht="20.25">
      <c r="A9" s="29"/>
      <c r="B9" s="29"/>
      <c r="D9" s="12"/>
      <c r="E9" s="33" t="s">
        <v>0</v>
      </c>
      <c r="F9" s="12"/>
      <c r="G9" s="12"/>
      <c r="H9" s="12"/>
      <c r="I9" s="12"/>
      <c r="J9" s="12"/>
    </row>
    <row r="10" spans="1:10" ht="30" customHeight="1" thickBot="1">
      <c r="A10" s="29"/>
      <c r="B10" s="29"/>
      <c r="C10" t="s">
        <v>0</v>
      </c>
      <c r="H10" s="12"/>
      <c r="I10" s="12"/>
      <c r="J10" s="12"/>
    </row>
    <row r="11" spans="1:10" ht="26.25" customHeight="1" thickBot="1">
      <c r="A11" s="157" t="s">
        <v>212</v>
      </c>
      <c r="B11" s="12" t="s">
        <v>0</v>
      </c>
      <c r="C11" s="12"/>
      <c r="D11" s="12"/>
      <c r="E11" s="12"/>
      <c r="F11" s="12"/>
      <c r="G11" s="12"/>
      <c r="H11" s="12"/>
      <c r="I11" s="12"/>
      <c r="J11" s="12"/>
    </row>
    <row r="12" spans="1:10" ht="42" customHeight="1" thickBot="1">
      <c r="A12" s="156" t="s">
        <v>210</v>
      </c>
      <c r="B12" s="155" t="s">
        <v>201</v>
      </c>
      <c r="C12" s="154" t="s">
        <v>213</v>
      </c>
      <c r="D12" s="155" t="s">
        <v>203</v>
      </c>
      <c r="E12" s="155" t="s">
        <v>386</v>
      </c>
      <c r="F12" s="153" t="s">
        <v>202</v>
      </c>
      <c r="G12" s="12"/>
      <c r="H12" s="12"/>
      <c r="I12" s="12"/>
      <c r="J12" s="12"/>
    </row>
    <row r="13" spans="1:10" ht="16.5">
      <c r="A13" s="150"/>
      <c r="B13" s="111"/>
      <c r="C13" s="111"/>
      <c r="D13" s="111"/>
      <c r="E13" s="111"/>
      <c r="F13" s="151"/>
      <c r="G13" s="12"/>
      <c r="H13" s="12"/>
      <c r="I13" s="12"/>
      <c r="J13" s="12"/>
    </row>
    <row r="14" spans="1:10" ht="17.25">
      <c r="A14" s="182" t="s">
        <v>468</v>
      </c>
      <c r="B14" s="194">
        <v>2.9399999999999999E-2</v>
      </c>
      <c r="C14" s="191">
        <f>+'Beta for CAPM'!H29</f>
        <v>1</v>
      </c>
      <c r="D14" s="183">
        <f>+B14*C14</f>
        <v>2.9399999999999999E-2</v>
      </c>
      <c r="E14" s="183">
        <f>+'Growth &amp; Inflation Rates '!$G$24</f>
        <v>4.8099999999999997E-2</v>
      </c>
      <c r="F14" s="184">
        <f>+D14+E14</f>
        <v>7.7499999999999999E-2</v>
      </c>
      <c r="G14" s="12"/>
      <c r="H14" s="12"/>
      <c r="I14" s="12"/>
      <c r="J14" s="12"/>
    </row>
    <row r="15" spans="1:10" ht="17.25">
      <c r="A15" s="182" t="s">
        <v>469</v>
      </c>
      <c r="B15" s="194">
        <v>2.98E-2</v>
      </c>
      <c r="C15" s="191">
        <f>+C14</f>
        <v>1</v>
      </c>
      <c r="D15" s="183">
        <f>+B15*C15</f>
        <v>2.98E-2</v>
      </c>
      <c r="E15" s="183">
        <f>+'Growth &amp; Inflation Rates '!$G$24</f>
        <v>4.8099999999999997E-2</v>
      </c>
      <c r="F15" s="184">
        <f>+D15+E15</f>
        <v>7.7899999999999997E-2</v>
      </c>
      <c r="G15" s="12"/>
      <c r="H15" s="12"/>
      <c r="I15" s="12"/>
      <c r="J15" s="12"/>
    </row>
    <row r="16" spans="1:10" ht="17.25">
      <c r="A16" s="185"/>
      <c r="B16" s="106"/>
      <c r="C16" s="106"/>
      <c r="D16" s="106"/>
      <c r="E16" s="106"/>
      <c r="F16" s="186"/>
      <c r="G16" s="12"/>
      <c r="H16" s="12"/>
      <c r="I16" s="12"/>
      <c r="J16" s="12"/>
    </row>
    <row r="17" spans="1:10" ht="17.25">
      <c r="A17" s="182" t="s">
        <v>398</v>
      </c>
      <c r="B17" s="194">
        <v>4.2299999999999997E-2</v>
      </c>
      <c r="C17" s="191">
        <f>+C14</f>
        <v>1</v>
      </c>
      <c r="D17" s="183">
        <f>+B17*C17</f>
        <v>4.2299999999999997E-2</v>
      </c>
      <c r="E17" s="183">
        <f>+'Growth &amp; Inflation Rates '!$G$24</f>
        <v>4.8099999999999997E-2</v>
      </c>
      <c r="F17" s="184">
        <f>+D17+E17</f>
        <v>9.0399999999999994E-2</v>
      </c>
      <c r="G17" s="12"/>
      <c r="H17" s="12"/>
      <c r="I17" s="12"/>
      <c r="J17" s="12"/>
    </row>
    <row r="18" spans="1:10" ht="17.25">
      <c r="A18" s="182" t="s">
        <v>416</v>
      </c>
      <c r="B18" s="194">
        <v>6.1800000000000001E-2</v>
      </c>
      <c r="C18" s="191">
        <f>+C14</f>
        <v>1</v>
      </c>
      <c r="D18" s="183">
        <f>+B18*C18</f>
        <v>6.1800000000000001E-2</v>
      </c>
      <c r="E18" s="183">
        <f>+'Growth &amp; Inflation Rates '!$G$24</f>
        <v>4.8099999999999997E-2</v>
      </c>
      <c r="F18" s="184">
        <f>+D18+E18</f>
        <v>0.1099</v>
      </c>
      <c r="G18" s="12"/>
      <c r="H18" s="12"/>
      <c r="I18" s="12"/>
      <c r="J18" s="12"/>
    </row>
    <row r="19" spans="1:10" ht="17.25">
      <c r="A19" s="182" t="s">
        <v>399</v>
      </c>
      <c r="B19" s="194">
        <v>3.9600000000000003E-2</v>
      </c>
      <c r="C19" s="191">
        <f>+C14</f>
        <v>1</v>
      </c>
      <c r="D19" s="183">
        <f t="shared" ref="D19:D20" si="0">+B19*C19</f>
        <v>3.9600000000000003E-2</v>
      </c>
      <c r="E19" s="183">
        <f>+'Growth &amp; Inflation Rates '!$G$24</f>
        <v>4.8099999999999997E-2</v>
      </c>
      <c r="F19" s="184">
        <f t="shared" ref="F19:F20" si="1">+D19+E19</f>
        <v>8.77E-2</v>
      </c>
      <c r="G19" s="12"/>
      <c r="H19" s="12"/>
      <c r="I19" s="12"/>
      <c r="J19" s="12"/>
    </row>
    <row r="20" spans="1:10" ht="17.25">
      <c r="A20" s="182" t="s">
        <v>400</v>
      </c>
      <c r="B20" s="194">
        <v>3.6200000000000003E-2</v>
      </c>
      <c r="C20" s="191">
        <f>+C14</f>
        <v>1</v>
      </c>
      <c r="D20" s="183">
        <f t="shared" si="0"/>
        <v>3.6200000000000003E-2</v>
      </c>
      <c r="E20" s="183">
        <f>+'Growth &amp; Inflation Rates '!$G$24</f>
        <v>4.8099999999999997E-2</v>
      </c>
      <c r="F20" s="184">
        <f t="shared" si="1"/>
        <v>8.43E-2</v>
      </c>
      <c r="G20" s="12"/>
      <c r="H20" s="12"/>
      <c r="I20" s="12"/>
      <c r="J20" s="12"/>
    </row>
    <row r="21" spans="1:10" ht="17.25">
      <c r="A21" s="182" t="s">
        <v>0</v>
      </c>
      <c r="B21" s="194"/>
      <c r="C21" s="192" t="s">
        <v>0</v>
      </c>
      <c r="D21" s="183" t="s">
        <v>0</v>
      </c>
      <c r="E21" s="183" t="s">
        <v>0</v>
      </c>
      <c r="F21" s="184" t="s">
        <v>0</v>
      </c>
      <c r="G21" s="12"/>
      <c r="H21" s="12"/>
      <c r="I21" s="12"/>
      <c r="J21" s="12"/>
    </row>
    <row r="22" spans="1:10" ht="17.25">
      <c r="A22" s="182" t="s">
        <v>206</v>
      </c>
      <c r="B22" s="194">
        <v>5.6099999999999997E-2</v>
      </c>
      <c r="C22" s="191">
        <f>+C14</f>
        <v>1</v>
      </c>
      <c r="D22" s="183">
        <f>+B22*C22</f>
        <v>5.6099999999999997E-2</v>
      </c>
      <c r="E22" s="183">
        <f>+'Growth &amp; Inflation Rates '!$G$24</f>
        <v>4.8099999999999997E-2</v>
      </c>
      <c r="F22" s="184">
        <f>+D22+E22</f>
        <v>0.10419999999999999</v>
      </c>
      <c r="G22" s="12"/>
      <c r="H22" s="12"/>
      <c r="I22" s="12"/>
      <c r="J22" s="12"/>
    </row>
    <row r="23" spans="1:10" ht="17.25">
      <c r="A23" s="182" t="s">
        <v>0</v>
      </c>
      <c r="B23" s="194"/>
      <c r="C23" s="192" t="s">
        <v>0</v>
      </c>
      <c r="D23" s="183" t="s">
        <v>0</v>
      </c>
      <c r="E23" s="183" t="s">
        <v>0</v>
      </c>
      <c r="F23" s="184" t="s">
        <v>0</v>
      </c>
      <c r="G23" s="12"/>
      <c r="H23" s="12"/>
      <c r="I23" s="12"/>
      <c r="J23" s="12"/>
    </row>
    <row r="24" spans="1:10" ht="17.25">
      <c r="A24" s="182" t="s">
        <v>417</v>
      </c>
      <c r="B24" s="194">
        <v>5.5E-2</v>
      </c>
      <c r="C24" s="191">
        <f>+C14</f>
        <v>1</v>
      </c>
      <c r="D24" s="183">
        <f>+B24*C24</f>
        <v>5.5E-2</v>
      </c>
      <c r="E24" s="183">
        <f>+'Growth &amp; Inflation Rates '!$G$24</f>
        <v>4.8099999999999997E-2</v>
      </c>
      <c r="F24" s="184">
        <f>+D24+E24</f>
        <v>0.1031</v>
      </c>
      <c r="G24" s="12"/>
      <c r="H24" s="12"/>
      <c r="I24" s="12"/>
      <c r="J24" s="12"/>
    </row>
    <row r="25" spans="1:10" ht="17.25">
      <c r="A25" s="182" t="s">
        <v>0</v>
      </c>
      <c r="B25" s="194"/>
      <c r="C25" s="192" t="s">
        <v>0</v>
      </c>
      <c r="D25" s="183" t="s">
        <v>0</v>
      </c>
      <c r="E25" s="183" t="s">
        <v>0</v>
      </c>
      <c r="F25" s="184" t="s">
        <v>0</v>
      </c>
      <c r="G25" s="12"/>
      <c r="H25" s="12"/>
      <c r="I25" s="12"/>
      <c r="J25" s="12"/>
    </row>
    <row r="26" spans="1:10" ht="17.25">
      <c r="A26" s="182" t="s">
        <v>207</v>
      </c>
      <c r="B26" s="194">
        <v>6.7799999999999999E-2</v>
      </c>
      <c r="C26" s="191">
        <f>+C14</f>
        <v>1</v>
      </c>
      <c r="D26" s="183">
        <f>+B26*C26</f>
        <v>6.7799999999999999E-2</v>
      </c>
      <c r="E26" s="183">
        <f>+'Growth &amp; Inflation Rates '!$G$24</f>
        <v>4.8099999999999997E-2</v>
      </c>
      <c r="F26" s="184">
        <f>+D26+E26</f>
        <v>0.1159</v>
      </c>
      <c r="G26" s="12"/>
      <c r="H26" s="12"/>
      <c r="I26" s="12"/>
      <c r="J26" s="12"/>
    </row>
    <row r="27" spans="1:10" ht="17.25">
      <c r="A27" s="182" t="s">
        <v>208</v>
      </c>
      <c r="B27" s="194">
        <v>5.5399999999999998E-2</v>
      </c>
      <c r="C27" s="191">
        <f>+C14</f>
        <v>1</v>
      </c>
      <c r="D27" s="183">
        <f>+B27*C27</f>
        <v>5.5399999999999998E-2</v>
      </c>
      <c r="E27" s="183">
        <f>+'Growth &amp; Inflation Rates '!$G$24</f>
        <v>4.8099999999999997E-2</v>
      </c>
      <c r="F27" s="184">
        <f>+D27+E27</f>
        <v>0.10349999999999999</v>
      </c>
      <c r="G27" s="12"/>
      <c r="H27" s="12"/>
      <c r="I27" s="12"/>
      <c r="J27" s="12"/>
    </row>
    <row r="28" spans="1:10" ht="17.25">
      <c r="A28" s="182"/>
      <c r="B28" s="194"/>
      <c r="C28" s="191"/>
      <c r="D28" s="183"/>
      <c r="E28" s="183"/>
      <c r="F28" s="184"/>
      <c r="G28" s="12"/>
      <c r="H28" s="12"/>
      <c r="I28" s="12"/>
      <c r="J28" s="12"/>
    </row>
    <row r="29" spans="1:10" ht="17.25">
      <c r="A29" s="182" t="s">
        <v>401</v>
      </c>
      <c r="B29" s="194">
        <v>7.3700000000000002E-2</v>
      </c>
      <c r="C29" s="191">
        <f>+C14</f>
        <v>1</v>
      </c>
      <c r="D29" s="183">
        <f>+B29*C29</f>
        <v>7.3700000000000002E-2</v>
      </c>
      <c r="E29" s="183">
        <f>+'Growth &amp; Inflation Rates '!$G$24</f>
        <v>4.8099999999999997E-2</v>
      </c>
      <c r="F29" s="184">
        <f>+D29+E29</f>
        <v>0.12179999999999999</v>
      </c>
      <c r="G29" s="12"/>
      <c r="H29" s="12"/>
      <c r="I29" s="12"/>
      <c r="J29" s="12"/>
    </row>
    <row r="30" spans="1:10" ht="17.25">
      <c r="A30" s="182" t="s">
        <v>402</v>
      </c>
      <c r="B30" s="194">
        <v>6.3100000000000003E-2</v>
      </c>
      <c r="C30" s="191">
        <f>+C15</f>
        <v>1</v>
      </c>
      <c r="D30" s="183">
        <f>+B30*C30</f>
        <v>6.3100000000000003E-2</v>
      </c>
      <c r="E30" s="183">
        <f>+'Growth &amp; Inflation Rates '!$G$24</f>
        <v>4.8099999999999997E-2</v>
      </c>
      <c r="F30" s="184">
        <f>+D30+E30</f>
        <v>0.11119999999999999</v>
      </c>
      <c r="G30" s="12"/>
      <c r="H30" s="12"/>
      <c r="I30" s="12"/>
      <c r="J30" s="12"/>
    </row>
    <row r="31" spans="1:10" ht="17.25">
      <c r="A31" s="182" t="s">
        <v>403</v>
      </c>
      <c r="B31" s="194">
        <v>0.05</v>
      </c>
      <c r="C31" s="191">
        <f>+C14</f>
        <v>1</v>
      </c>
      <c r="D31" s="183">
        <f>+B31*C31</f>
        <v>0.05</v>
      </c>
      <c r="E31" s="183">
        <f>+'Growth &amp; Inflation Rates '!$G$24</f>
        <v>4.8099999999999997E-2</v>
      </c>
      <c r="F31" s="184">
        <f>+D31+E31</f>
        <v>9.8099999999999993E-2</v>
      </c>
      <c r="G31" s="12"/>
      <c r="H31" s="12"/>
      <c r="I31" s="12"/>
      <c r="J31" s="12"/>
    </row>
    <row r="32" spans="1:10" ht="17.25">
      <c r="A32" s="182"/>
      <c r="B32" s="194"/>
      <c r="C32" s="191"/>
      <c r="D32" s="183"/>
      <c r="E32" s="183"/>
      <c r="F32" s="184"/>
      <c r="G32" s="12"/>
      <c r="H32" s="12"/>
      <c r="I32" s="12"/>
      <c r="J32" s="12"/>
    </row>
    <row r="33" spans="1:10" ht="17.25">
      <c r="A33" s="386" t="s">
        <v>0</v>
      </c>
      <c r="B33" s="507" t="s">
        <v>0</v>
      </c>
      <c r="C33" s="191" t="s">
        <v>0</v>
      </c>
      <c r="D33" s="183" t="s">
        <v>0</v>
      </c>
      <c r="E33" s="183" t="s">
        <v>0</v>
      </c>
      <c r="F33" s="184" t="s">
        <v>0</v>
      </c>
      <c r="G33" s="12" t="s">
        <v>0</v>
      </c>
      <c r="H33" s="12"/>
      <c r="I33" s="12"/>
      <c r="J33" s="12"/>
    </row>
    <row r="34" spans="1:10" ht="17.25" thickBot="1">
      <c r="A34" s="374"/>
      <c r="B34" s="28"/>
      <c r="C34" s="28"/>
      <c r="D34" s="28"/>
      <c r="E34" s="28"/>
      <c r="F34" s="375"/>
      <c r="G34" s="12"/>
      <c r="H34" s="12"/>
      <c r="I34" s="12"/>
      <c r="J34" s="12"/>
    </row>
    <row r="35" spans="1:10" ht="16.5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27" customHeight="1" thickBot="1">
      <c r="A36" s="12"/>
      <c r="B36" s="12"/>
      <c r="C36" s="12"/>
      <c r="D36" s="12"/>
      <c r="E36" s="12"/>
      <c r="F36" s="12"/>
      <c r="G36" s="12" t="s">
        <v>0</v>
      </c>
      <c r="H36" s="12"/>
      <c r="I36" s="12"/>
      <c r="J36" s="12"/>
    </row>
    <row r="37" spans="1:10" ht="18" thickBot="1">
      <c r="A37" s="157" t="s">
        <v>211</v>
      </c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41.25" thickBot="1">
      <c r="A38" s="156" t="s">
        <v>209</v>
      </c>
      <c r="B38" s="155" t="s">
        <v>201</v>
      </c>
      <c r="C38" s="154" t="s">
        <v>213</v>
      </c>
      <c r="D38" s="155" t="s">
        <v>204</v>
      </c>
      <c r="E38" s="155" t="s">
        <v>205</v>
      </c>
      <c r="F38" s="155" t="s">
        <v>386</v>
      </c>
      <c r="G38" s="153" t="s">
        <v>202</v>
      </c>
      <c r="H38" s="12"/>
      <c r="I38" s="12"/>
      <c r="J38" s="12"/>
    </row>
    <row r="39" spans="1:10" ht="16.5">
      <c r="A39" s="150"/>
      <c r="B39" s="111"/>
      <c r="C39" s="111"/>
      <c r="D39" s="111"/>
      <c r="E39" s="111"/>
      <c r="F39" s="111"/>
      <c r="G39" s="151"/>
      <c r="H39" s="12"/>
      <c r="I39" s="12"/>
      <c r="J39" s="12"/>
    </row>
    <row r="40" spans="1:10" ht="17.25">
      <c r="A40" s="182" t="s">
        <v>468</v>
      </c>
      <c r="B40" s="194">
        <f>+B14</f>
        <v>2.9399999999999999E-2</v>
      </c>
      <c r="C40" s="190">
        <f>+C14</f>
        <v>1</v>
      </c>
      <c r="D40" s="183">
        <f>+B40*C40*0.75</f>
        <v>2.205E-2</v>
      </c>
      <c r="E40" s="194">
        <f>+B40*0.25</f>
        <v>7.3499999999999998E-3</v>
      </c>
      <c r="F40" s="183">
        <f>+'Growth &amp; Inflation Rates '!$G$24</f>
        <v>4.8099999999999997E-2</v>
      </c>
      <c r="G40" s="184">
        <f>+D40+E40+F40</f>
        <v>7.7499999999999999E-2</v>
      </c>
      <c r="H40" s="12"/>
      <c r="I40" s="12"/>
      <c r="J40" s="12"/>
    </row>
    <row r="41" spans="1:10" ht="17.25">
      <c r="A41" s="182" t="s">
        <v>469</v>
      </c>
      <c r="B41" s="194">
        <f>+B15</f>
        <v>2.98E-2</v>
      </c>
      <c r="C41" s="190">
        <f>+C15</f>
        <v>1</v>
      </c>
      <c r="D41" s="183">
        <f>+B41*C41*0.75</f>
        <v>2.2350000000000002E-2</v>
      </c>
      <c r="E41" s="194">
        <f>+B41*0.25</f>
        <v>7.45E-3</v>
      </c>
      <c r="F41" s="183">
        <f>+'Growth &amp; Inflation Rates '!$G$24</f>
        <v>4.8099999999999997E-2</v>
      </c>
      <c r="G41" s="184">
        <f>+D41+E41+F41</f>
        <v>7.7899999999999997E-2</v>
      </c>
      <c r="H41" s="12"/>
      <c r="I41" s="12"/>
      <c r="J41" s="12"/>
    </row>
    <row r="42" spans="1:10" ht="17.25">
      <c r="A42" s="185"/>
      <c r="B42" s="106"/>
      <c r="C42" s="106"/>
      <c r="D42" s="106"/>
      <c r="E42" s="106"/>
      <c r="F42" s="106"/>
      <c r="G42" s="186"/>
      <c r="H42" s="12"/>
      <c r="I42" s="12"/>
      <c r="J42" s="12"/>
    </row>
    <row r="43" spans="1:10" ht="17.25">
      <c r="A43" s="182" t="str">
        <f t="shared" ref="A43:C44" si="2">+A17</f>
        <v>Damodaran Implied ERP Ex Ante   Trailing 12 mo Cash Yield (3)</v>
      </c>
      <c r="B43" s="194">
        <f t="shared" si="2"/>
        <v>4.2299999999999997E-2</v>
      </c>
      <c r="C43" s="190">
        <f t="shared" si="2"/>
        <v>1</v>
      </c>
      <c r="D43" s="183">
        <f>+B43*C43*0.75</f>
        <v>3.1724999999999996E-2</v>
      </c>
      <c r="E43" s="194">
        <f>+B43*0.25</f>
        <v>1.0574999999999999E-2</v>
      </c>
      <c r="F43" s="183">
        <f>+'Growth &amp; Inflation Rates '!$G$24</f>
        <v>4.8099999999999997E-2</v>
      </c>
      <c r="G43" s="184">
        <f>+D43+E43+F43</f>
        <v>9.0399999999999994E-2</v>
      </c>
      <c r="H43" s="12"/>
      <c r="I43" s="12"/>
      <c r="J43" s="12"/>
    </row>
    <row r="44" spans="1:10" ht="17.25">
      <c r="A44" s="182" t="str">
        <f t="shared" ref="A44:B46" si="3">+A18</f>
        <v>Damodaran Implied ERP Ex Ante   Avg CF Yield Last 10 Yrs (3)</v>
      </c>
      <c r="B44" s="194">
        <f t="shared" si="3"/>
        <v>6.1800000000000001E-2</v>
      </c>
      <c r="C44" s="190">
        <f t="shared" si="2"/>
        <v>1</v>
      </c>
      <c r="D44" s="183">
        <f>+B44*C44*0.75</f>
        <v>4.6350000000000002E-2</v>
      </c>
      <c r="E44" s="194">
        <f>+B44*0.25</f>
        <v>1.545E-2</v>
      </c>
      <c r="F44" s="183">
        <f>+'Growth &amp; Inflation Rates '!$G$24</f>
        <v>4.8099999999999997E-2</v>
      </c>
      <c r="G44" s="184">
        <f>+D44+E44+F44</f>
        <v>0.1099</v>
      </c>
      <c r="H44" s="12"/>
      <c r="I44" s="12"/>
      <c r="J44" s="12"/>
    </row>
    <row r="45" spans="1:10" ht="17.25">
      <c r="A45" s="182" t="str">
        <f t="shared" si="3"/>
        <v>Damodaran Implied ERP Ex Ante   Net Cash Yield (3)</v>
      </c>
      <c r="B45" s="194">
        <f t="shared" si="3"/>
        <v>3.9600000000000003E-2</v>
      </c>
      <c r="C45" s="190">
        <f>+C19</f>
        <v>1</v>
      </c>
      <c r="D45" s="183">
        <f>+B45*C45*0.75</f>
        <v>2.9700000000000004E-2</v>
      </c>
      <c r="E45" s="194">
        <f>+B45*0.25</f>
        <v>9.9000000000000008E-3</v>
      </c>
      <c r="F45" s="183">
        <f>+'Growth &amp; Inflation Rates '!$G$24</f>
        <v>4.8099999999999997E-2</v>
      </c>
      <c r="G45" s="184">
        <f>+D45+E45+F45</f>
        <v>8.77E-2</v>
      </c>
      <c r="H45" s="12"/>
      <c r="I45" s="12"/>
      <c r="J45" s="12"/>
    </row>
    <row r="46" spans="1:10" ht="17.25">
      <c r="A46" s="182" t="str">
        <f t="shared" si="3"/>
        <v>Damodaran Implied ERP Ex Ante   Norm. Earnings &amp; Payout (3)</v>
      </c>
      <c r="B46" s="194">
        <f t="shared" si="3"/>
        <v>3.6200000000000003E-2</v>
      </c>
      <c r="C46" s="190">
        <f>+C20</f>
        <v>1</v>
      </c>
      <c r="D46" s="183">
        <f>+B46*C46*0.75</f>
        <v>2.7150000000000001E-2</v>
      </c>
      <c r="E46" s="194">
        <f>+B46*0.25</f>
        <v>9.0500000000000008E-3</v>
      </c>
      <c r="F46" s="183">
        <f>+'Growth &amp; Inflation Rates '!$G$24</f>
        <v>4.8099999999999997E-2</v>
      </c>
      <c r="G46" s="184">
        <f>+D46+E46+F46</f>
        <v>8.43E-2</v>
      </c>
      <c r="H46" s="12"/>
      <c r="I46" s="12"/>
      <c r="J46" s="12"/>
    </row>
    <row r="47" spans="1:10" ht="17.25">
      <c r="A47" s="182" t="s">
        <v>0</v>
      </c>
      <c r="B47" s="194" t="s">
        <v>0</v>
      </c>
      <c r="C47" s="183" t="s">
        <v>0</v>
      </c>
      <c r="D47" s="183" t="s">
        <v>0</v>
      </c>
      <c r="E47" s="194" t="s">
        <v>0</v>
      </c>
      <c r="F47" s="183" t="s">
        <v>0</v>
      </c>
      <c r="G47" s="184" t="s">
        <v>0</v>
      </c>
      <c r="H47" s="12"/>
      <c r="I47" s="12"/>
      <c r="J47" s="12"/>
    </row>
    <row r="48" spans="1:10" ht="17.25">
      <c r="A48" s="182" t="s">
        <v>206</v>
      </c>
      <c r="B48" s="194">
        <f>+B22</f>
        <v>5.6099999999999997E-2</v>
      </c>
      <c r="C48" s="190">
        <f>+C22</f>
        <v>1</v>
      </c>
      <c r="D48" s="183">
        <f>+B48*C48*0.75</f>
        <v>4.2075000000000001E-2</v>
      </c>
      <c r="E48" s="194">
        <f>+B48*0.25</f>
        <v>1.4024999999999999E-2</v>
      </c>
      <c r="F48" s="183">
        <f>+'Growth &amp; Inflation Rates '!$G$24</f>
        <v>4.8099999999999997E-2</v>
      </c>
      <c r="G48" s="184">
        <f>+D48+E48+F48</f>
        <v>0.10419999999999999</v>
      </c>
    </row>
    <row r="49" spans="1:7" ht="17.25">
      <c r="A49" s="182" t="s">
        <v>0</v>
      </c>
      <c r="B49" s="194" t="s">
        <v>0</v>
      </c>
      <c r="C49" s="183" t="s">
        <v>0</v>
      </c>
      <c r="D49" s="183" t="s">
        <v>0</v>
      </c>
      <c r="E49" s="194" t="s">
        <v>0</v>
      </c>
      <c r="F49" s="183" t="s">
        <v>0</v>
      </c>
      <c r="G49" s="184" t="s">
        <v>0</v>
      </c>
    </row>
    <row r="50" spans="1:7" ht="17.25">
      <c r="A50" s="182" t="s">
        <v>417</v>
      </c>
      <c r="B50" s="194">
        <f>+B24</f>
        <v>5.5E-2</v>
      </c>
      <c r="C50" s="190">
        <f>+C24</f>
        <v>1</v>
      </c>
      <c r="D50" s="183">
        <f>+B50*C50*0.75</f>
        <v>4.1250000000000002E-2</v>
      </c>
      <c r="E50" s="194">
        <f>+B50*0.25</f>
        <v>1.375E-2</v>
      </c>
      <c r="F50" s="183">
        <f>+'Growth &amp; Inflation Rates '!$G$24</f>
        <v>4.8099999999999997E-2</v>
      </c>
      <c r="G50" s="184">
        <f>+D50+E50+F50</f>
        <v>0.1031</v>
      </c>
    </row>
    <row r="51" spans="1:7" ht="17.25">
      <c r="A51" s="182" t="s">
        <v>0</v>
      </c>
      <c r="B51" s="194" t="s">
        <v>0</v>
      </c>
      <c r="C51" s="183" t="s">
        <v>0</v>
      </c>
      <c r="D51" s="183" t="s">
        <v>0</v>
      </c>
      <c r="E51" s="194" t="s">
        <v>0</v>
      </c>
      <c r="F51" s="183" t="s">
        <v>0</v>
      </c>
      <c r="G51" s="184" t="s">
        <v>0</v>
      </c>
    </row>
    <row r="52" spans="1:7" ht="17.25">
      <c r="A52" s="182" t="s">
        <v>207</v>
      </c>
      <c r="B52" s="194">
        <f>+B26</f>
        <v>6.7799999999999999E-2</v>
      </c>
      <c r="C52" s="190">
        <f>+C26</f>
        <v>1</v>
      </c>
      <c r="D52" s="183">
        <f>+B52*C52*0.75</f>
        <v>5.0849999999999999E-2</v>
      </c>
      <c r="E52" s="194">
        <f>+B52*0.25</f>
        <v>1.695E-2</v>
      </c>
      <c r="F52" s="183">
        <f>+'Growth &amp; Inflation Rates '!$G$24</f>
        <v>4.8099999999999997E-2</v>
      </c>
      <c r="G52" s="184">
        <f>+D52+E52+F52</f>
        <v>0.1159</v>
      </c>
    </row>
    <row r="53" spans="1:7" ht="17.25">
      <c r="A53" s="182" t="s">
        <v>208</v>
      </c>
      <c r="B53" s="194">
        <f>+B27</f>
        <v>5.5399999999999998E-2</v>
      </c>
      <c r="C53" s="190">
        <f>+C27</f>
        <v>1</v>
      </c>
      <c r="D53" s="183">
        <f>+B53*C53*0.75</f>
        <v>4.1549999999999997E-2</v>
      </c>
      <c r="E53" s="194">
        <f>+B53*0.25</f>
        <v>1.3849999999999999E-2</v>
      </c>
      <c r="F53" s="183">
        <f>+'Growth &amp; Inflation Rates '!$G$24</f>
        <v>4.8099999999999997E-2</v>
      </c>
      <c r="G53" s="184">
        <f>+D53+E53+F53</f>
        <v>0.10349999999999999</v>
      </c>
    </row>
    <row r="54" spans="1:7" ht="17.25">
      <c r="A54" s="182"/>
      <c r="B54" s="194"/>
      <c r="C54" s="190"/>
      <c r="D54" s="183"/>
      <c r="E54" s="194"/>
      <c r="F54" s="183"/>
      <c r="G54" s="184"/>
    </row>
    <row r="55" spans="1:7" ht="17.25">
      <c r="A55" s="182" t="str">
        <f t="shared" ref="A55:C56" si="4">+A29</f>
        <v>KROLL Ex Post  - ERP Historical (8)</v>
      </c>
      <c r="B55" s="194">
        <f t="shared" si="4"/>
        <v>7.3700000000000002E-2</v>
      </c>
      <c r="C55" s="190">
        <f t="shared" si="4"/>
        <v>1</v>
      </c>
      <c r="D55" s="183">
        <f>+B55*C55*0.75</f>
        <v>5.5275000000000005E-2</v>
      </c>
      <c r="E55" s="194">
        <f>+B55*0.25</f>
        <v>1.8425E-2</v>
      </c>
      <c r="F55" s="183">
        <f>+'Growth &amp; Inflation Rates '!$G$24</f>
        <v>4.8099999999999997E-2</v>
      </c>
      <c r="G55" s="184">
        <f>+D55+E55+F55</f>
        <v>0.12179999999999999</v>
      </c>
    </row>
    <row r="56" spans="1:7" ht="17.25">
      <c r="A56" s="182" t="str">
        <f t="shared" si="4"/>
        <v>KROLL Ex Post - ERP Supply Side (8)</v>
      </c>
      <c r="B56" s="194">
        <f t="shared" si="4"/>
        <v>6.3100000000000003E-2</v>
      </c>
      <c r="C56" s="190">
        <f t="shared" si="4"/>
        <v>1</v>
      </c>
      <c r="D56" s="183">
        <f>+B56*C56*0.75</f>
        <v>4.7325000000000006E-2</v>
      </c>
      <c r="E56" s="194">
        <f>+B56*0.25</f>
        <v>1.5775000000000001E-2</v>
      </c>
      <c r="F56" s="183">
        <f>+'Growth &amp; Inflation Rates '!$G$24</f>
        <v>4.8099999999999997E-2</v>
      </c>
      <c r="G56" s="184">
        <f>+D56+E56+F56</f>
        <v>0.11119999999999999</v>
      </c>
    </row>
    <row r="57" spans="1:7" ht="17.25">
      <c r="A57" s="182" t="str">
        <f>+A31</f>
        <v>KROLL Ex Ante - ERP Conditional (8)</v>
      </c>
      <c r="B57" s="194">
        <f>+B31</f>
        <v>0.05</v>
      </c>
      <c r="C57" s="190">
        <f>+C27</f>
        <v>1</v>
      </c>
      <c r="D57" s="183">
        <f>+B57*C57*0.75</f>
        <v>3.7500000000000006E-2</v>
      </c>
      <c r="E57" s="194">
        <f>+B57*0.25</f>
        <v>1.2500000000000001E-2</v>
      </c>
      <c r="F57" s="183">
        <f>+'Growth &amp; Inflation Rates '!$G$24</f>
        <v>4.8099999999999997E-2</v>
      </c>
      <c r="G57" s="184">
        <f>+D57+E57+F57</f>
        <v>9.8099999999999993E-2</v>
      </c>
    </row>
    <row r="58" spans="1:7" ht="17.25">
      <c r="A58" s="182"/>
      <c r="B58" s="194"/>
      <c r="C58" s="190"/>
      <c r="D58" s="183"/>
      <c r="E58" s="194"/>
      <c r="F58" s="183"/>
      <c r="G58" s="184"/>
    </row>
    <row r="59" spans="1:7" ht="17.25">
      <c r="A59" s="386" t="s">
        <v>0</v>
      </c>
      <c r="B59" s="194" t="s">
        <v>0</v>
      </c>
      <c r="C59" s="190" t="s">
        <v>0</v>
      </c>
      <c r="D59" s="183" t="s">
        <v>0</v>
      </c>
      <c r="E59" s="194" t="s">
        <v>0</v>
      </c>
      <c r="F59" s="183" t="s">
        <v>0</v>
      </c>
      <c r="G59" s="184" t="s">
        <v>0</v>
      </c>
    </row>
    <row r="60" spans="1:7" ht="15.75" thickBot="1">
      <c r="A60" s="280"/>
      <c r="B60" s="148"/>
      <c r="C60" s="148"/>
      <c r="D60" s="148"/>
      <c r="E60" s="148"/>
      <c r="F60" s="148"/>
      <c r="G60" s="281"/>
    </row>
    <row r="62" spans="1:7" ht="17.25">
      <c r="A62" s="60" t="s">
        <v>72</v>
      </c>
      <c r="E62" s="193" t="s">
        <v>0</v>
      </c>
    </row>
    <row r="63" spans="1:7">
      <c r="A63" s="158" t="s">
        <v>0</v>
      </c>
      <c r="E63" s="193" t="s">
        <v>0</v>
      </c>
    </row>
    <row r="64" spans="1:7" ht="16.5">
      <c r="A64" s="482" t="s">
        <v>466</v>
      </c>
      <c r="B64" s="12"/>
      <c r="C64" s="12"/>
      <c r="D64" s="12"/>
      <c r="E64" s="12"/>
      <c r="F64" s="12"/>
      <c r="G64" s="12"/>
    </row>
    <row r="65" spans="1:7" ht="16.5">
      <c r="A65" s="482" t="s">
        <v>467</v>
      </c>
      <c r="B65" s="12"/>
      <c r="C65" s="12"/>
      <c r="D65" s="12"/>
      <c r="E65" s="12"/>
      <c r="F65" s="12"/>
      <c r="G65" s="12"/>
    </row>
    <row r="66" spans="1:7" ht="16.5">
      <c r="A66" s="42" t="s">
        <v>0</v>
      </c>
      <c r="B66" s="12"/>
      <c r="C66" s="12"/>
      <c r="D66" s="12"/>
      <c r="E66" s="12"/>
      <c r="F66" s="12"/>
      <c r="G66" s="12"/>
    </row>
    <row r="67" spans="1:7" ht="16.5">
      <c r="A67" s="42" t="s">
        <v>494</v>
      </c>
      <c r="B67" s="12"/>
      <c r="C67" s="12"/>
      <c r="D67" s="12"/>
      <c r="E67" s="12"/>
      <c r="F67" s="12"/>
      <c r="G67" s="12"/>
    </row>
    <row r="68" spans="1:7" ht="16.5">
      <c r="A68" s="146" t="s">
        <v>395</v>
      </c>
      <c r="C68" s="12"/>
      <c r="D68" s="12"/>
      <c r="E68" s="12"/>
      <c r="F68" s="12"/>
      <c r="G68" s="12"/>
    </row>
    <row r="69" spans="1:7" ht="16.5">
      <c r="A69" s="42" t="s">
        <v>0</v>
      </c>
      <c r="B69" s="12"/>
      <c r="C69" s="12"/>
      <c r="D69" s="12"/>
      <c r="E69" s="12"/>
      <c r="F69" s="12"/>
      <c r="G69" s="12"/>
    </row>
    <row r="70" spans="1:7" ht="16.5">
      <c r="A70" s="42" t="s">
        <v>495</v>
      </c>
      <c r="B70" s="12"/>
      <c r="C70" s="12"/>
      <c r="D70" s="12"/>
      <c r="E70" s="12"/>
      <c r="F70" s="12"/>
      <c r="G70" s="12"/>
    </row>
    <row r="71" spans="1:7" ht="16.5">
      <c r="A71" s="146" t="s">
        <v>396</v>
      </c>
      <c r="B71" s="12"/>
      <c r="C71" s="12"/>
      <c r="D71" s="12"/>
      <c r="E71" s="12"/>
      <c r="F71" s="12"/>
      <c r="G71" s="12"/>
    </row>
    <row r="72" spans="1:7" ht="16.5">
      <c r="A72" s="42"/>
      <c r="B72" s="12"/>
      <c r="C72" s="12"/>
      <c r="D72" s="12"/>
      <c r="E72" s="12"/>
      <c r="F72" s="12"/>
      <c r="G72" s="12"/>
    </row>
    <row r="73" spans="1:7" ht="16.5">
      <c r="A73" s="42" t="s">
        <v>496</v>
      </c>
      <c r="B73" s="12"/>
      <c r="C73" s="12"/>
      <c r="D73" s="12"/>
      <c r="E73" s="12"/>
      <c r="F73" s="12"/>
      <c r="G73" s="12"/>
    </row>
    <row r="74" spans="1:7" ht="16.5">
      <c r="A74" s="146" t="s">
        <v>504</v>
      </c>
      <c r="B74" s="12"/>
      <c r="C74" s="12"/>
      <c r="D74" s="12"/>
      <c r="E74" s="12"/>
      <c r="F74" s="12"/>
      <c r="G74" s="12"/>
    </row>
    <row r="75" spans="1:7" ht="16.5">
      <c r="A75" s="42"/>
      <c r="B75" s="12"/>
      <c r="C75" s="12"/>
      <c r="D75" s="12"/>
      <c r="E75" s="12"/>
      <c r="F75" s="12"/>
      <c r="G75" s="12"/>
    </row>
    <row r="76" spans="1:7" ht="16.5">
      <c r="A76" s="42" t="s">
        <v>476</v>
      </c>
      <c r="B76" s="12"/>
      <c r="C76" s="12"/>
      <c r="D76" s="12"/>
      <c r="E76" s="12"/>
      <c r="F76" s="12"/>
      <c r="G76" s="12"/>
    </row>
    <row r="77" spans="1:7" ht="16.5">
      <c r="A77" s="146" t="s">
        <v>397</v>
      </c>
      <c r="B77" s="12"/>
      <c r="C77" s="12"/>
      <c r="D77" s="12"/>
      <c r="E77" s="12"/>
      <c r="F77" s="12"/>
      <c r="G77" s="12"/>
    </row>
    <row r="78" spans="1:7">
      <c r="A78" s="158"/>
    </row>
    <row r="79" spans="1:7" ht="16.5">
      <c r="A79" s="42" t="s">
        <v>477</v>
      </c>
    </row>
    <row r="80" spans="1:7" ht="16.5">
      <c r="A80" s="42" t="s">
        <v>0</v>
      </c>
    </row>
    <row r="81" spans="1:8" ht="16.5">
      <c r="A81" s="42" t="s">
        <v>0</v>
      </c>
      <c r="H81" s="12"/>
    </row>
    <row r="82" spans="1:8" ht="16.5">
      <c r="A82" s="146"/>
      <c r="H82" s="12"/>
    </row>
    <row r="83" spans="1:8" ht="21" thickBot="1">
      <c r="A83" s="149"/>
      <c r="B83" s="149"/>
      <c r="C83" s="149"/>
      <c r="D83" s="28"/>
      <c r="E83" s="35"/>
      <c r="F83" s="28"/>
      <c r="G83" s="148"/>
      <c r="H83" s="12"/>
    </row>
    <row r="84" spans="1:8" ht="16.5">
      <c r="H84" s="12"/>
    </row>
  </sheetData>
  <hyperlinks>
    <hyperlink ref="A77" r:id="rId1" xr:uid="{CACFF676-3759-4A70-AE5A-A8CE0E163698}"/>
    <hyperlink ref="A68" r:id="rId2" xr:uid="{603C17F8-6DC7-4AF6-A51D-722C7DEB1EB8}"/>
    <hyperlink ref="A71" r:id="rId3" xr:uid="{9B747ABC-4C26-42F4-896A-3507F0C8C562}"/>
    <hyperlink ref="A74" r:id="rId4" xr:uid="{A49907CF-3FFE-4E4D-88B0-848D226860AA}"/>
  </hyperlinks>
  <pageMargins left="0.25" right="0.25" top="0.75" bottom="0.75" header="0.3" footer="0.3"/>
  <pageSetup scale="40" orientation="portrait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0091B-222C-4619-A26F-1F4A613A9960}">
  <sheetPr>
    <tabColor rgb="FF92D050"/>
  </sheetPr>
  <dimension ref="A1:R108"/>
  <sheetViews>
    <sheetView view="pageBreakPreview" topLeftCell="A26" zoomScale="80" zoomScaleNormal="80" zoomScaleSheetLayoutView="80" workbookViewId="0">
      <selection activeCell="H82" sqref="H82"/>
    </sheetView>
  </sheetViews>
  <sheetFormatPr defaultRowHeight="15"/>
  <cols>
    <col min="1" max="1" width="70.5703125" customWidth="1"/>
    <col min="2" max="2" width="23.5703125" customWidth="1"/>
    <col min="3" max="3" width="26.7109375" customWidth="1"/>
    <col min="4" max="4" width="27.85546875" customWidth="1"/>
    <col min="5" max="5" width="28.85546875" customWidth="1"/>
    <col min="6" max="6" width="29.140625" customWidth="1"/>
    <col min="7" max="7" width="31" customWidth="1"/>
    <col min="8" max="8" width="27.42578125" customWidth="1"/>
    <col min="9" max="9" width="15.42578125" customWidth="1"/>
    <col min="10" max="10" width="23.42578125" customWidth="1"/>
    <col min="11" max="11" width="18.28515625" customWidth="1"/>
    <col min="12" max="12" width="14.140625" bestFit="1" customWidth="1"/>
    <col min="14" max="14" width="1.7109375" bestFit="1" customWidth="1"/>
    <col min="16" max="16" width="18.140625" bestFit="1" customWidth="1"/>
    <col min="17" max="17" width="18.5703125" bestFit="1" customWidth="1"/>
    <col min="18" max="18" width="47.42578125" bestFit="1" customWidth="1"/>
  </cols>
  <sheetData>
    <row r="1" spans="1:11" ht="26.25">
      <c r="A1" s="23" t="s">
        <v>1</v>
      </c>
      <c r="C1" s="23"/>
      <c r="D1" s="23"/>
      <c r="E1" s="12"/>
      <c r="F1" s="12"/>
      <c r="G1" s="12"/>
      <c r="H1" s="12"/>
      <c r="I1" s="12"/>
      <c r="J1" s="12"/>
      <c r="K1" s="12"/>
    </row>
    <row r="2" spans="1:11" ht="17.25">
      <c r="A2" s="24" t="s">
        <v>9</v>
      </c>
      <c r="C2" s="24"/>
      <c r="D2" s="24"/>
      <c r="E2" s="12"/>
      <c r="F2" s="12"/>
      <c r="G2" s="12"/>
      <c r="H2" s="12"/>
      <c r="I2" s="12"/>
      <c r="J2" s="12"/>
      <c r="K2" s="12"/>
    </row>
    <row r="3" spans="1:11" ht="16.5">
      <c r="A3" s="25" t="s">
        <v>475</v>
      </c>
      <c r="C3" s="25"/>
      <c r="D3" s="25"/>
      <c r="E3" s="12"/>
      <c r="F3" s="12"/>
      <c r="G3" s="12"/>
      <c r="H3" s="12"/>
      <c r="I3" s="12"/>
      <c r="J3" s="12"/>
      <c r="K3" s="12"/>
    </row>
    <row r="4" spans="1:11" ht="16.5">
      <c r="B4" s="25"/>
      <c r="C4" s="25"/>
      <c r="D4" s="25"/>
      <c r="E4" s="12"/>
      <c r="F4" s="12"/>
      <c r="G4" s="12"/>
      <c r="H4" s="12"/>
      <c r="I4" s="12"/>
      <c r="J4" s="12"/>
      <c r="K4" s="12"/>
    </row>
    <row r="5" spans="1:11" ht="16.5">
      <c r="B5" s="12"/>
      <c r="C5" s="12"/>
      <c r="D5" s="12"/>
      <c r="E5" s="12"/>
      <c r="F5" s="12"/>
      <c r="G5" s="12"/>
      <c r="H5" s="12"/>
      <c r="I5" s="506" t="s">
        <v>0</v>
      </c>
      <c r="J5" s="26"/>
      <c r="K5" s="12"/>
    </row>
    <row r="6" spans="1:11" ht="17.25" thickBot="1">
      <c r="B6" s="12"/>
      <c r="C6" s="12"/>
      <c r="D6" s="28"/>
      <c r="E6" s="28"/>
      <c r="F6" s="148"/>
      <c r="H6" s="12"/>
      <c r="I6" s="12"/>
      <c r="J6" s="12"/>
    </row>
    <row r="7" spans="1:11" ht="27" thickBot="1">
      <c r="A7" s="27" t="str">
        <f>+'S&amp;D'!A12</f>
        <v>Liquid Transportation Pipeline Carriers</v>
      </c>
      <c r="C7" s="29"/>
      <c r="D7" s="29"/>
      <c r="E7" s="30" t="s">
        <v>234</v>
      </c>
      <c r="H7" s="12"/>
      <c r="I7" s="12"/>
      <c r="J7" s="12"/>
    </row>
    <row r="8" spans="1:11" ht="21" thickBot="1">
      <c r="B8" s="29"/>
      <c r="C8" s="29"/>
      <c r="D8" s="149"/>
      <c r="E8" s="35" t="s">
        <v>487</v>
      </c>
      <c r="F8" s="148"/>
      <c r="H8" s="12"/>
      <c r="I8" s="12"/>
    </row>
    <row r="9" spans="1:11" ht="20.25">
      <c r="B9" s="29"/>
      <c r="C9" s="29"/>
      <c r="D9" s="29"/>
      <c r="E9" s="33"/>
      <c r="H9" s="12"/>
      <c r="I9" s="12"/>
    </row>
    <row r="10" spans="1:11" ht="29.1" customHeight="1" thickBot="1">
      <c r="A10" s="149"/>
      <c r="B10" s="29"/>
      <c r="I10" s="12"/>
    </row>
    <row r="11" spans="1:11" ht="22.5" customHeight="1" thickBot="1">
      <c r="A11" s="161" t="s">
        <v>233</v>
      </c>
      <c r="B11" s="29"/>
      <c r="I11" s="12"/>
    </row>
    <row r="12" spans="1:11" ht="20.100000000000001" customHeight="1" thickBot="1">
      <c r="A12" s="160" t="s">
        <v>0</v>
      </c>
      <c r="B12" s="12"/>
      <c r="C12" s="12"/>
      <c r="D12" s="12"/>
      <c r="E12" s="12"/>
      <c r="F12" s="12"/>
      <c r="G12" s="12"/>
      <c r="H12" s="12"/>
      <c r="I12" s="12"/>
    </row>
    <row r="13" spans="1:11" ht="60.6" customHeight="1" thickBot="1">
      <c r="A13" s="207" t="s">
        <v>0</v>
      </c>
      <c r="B13" s="155" t="s">
        <v>281</v>
      </c>
      <c r="C13" s="155" t="s">
        <v>280</v>
      </c>
      <c r="D13" s="154" t="s">
        <v>214</v>
      </c>
      <c r="E13" s="155" t="s">
        <v>215</v>
      </c>
      <c r="F13" s="155" t="s">
        <v>251</v>
      </c>
      <c r="G13" s="155" t="s">
        <v>250</v>
      </c>
      <c r="H13" s="155" t="s">
        <v>216</v>
      </c>
    </row>
    <row r="14" spans="1:11" ht="16.5">
      <c r="A14" s="150"/>
      <c r="B14" s="199"/>
      <c r="C14" s="199"/>
      <c r="D14" s="111"/>
      <c r="E14" s="199"/>
      <c r="F14" s="199"/>
      <c r="G14" s="199"/>
      <c r="H14" s="199"/>
    </row>
    <row r="15" spans="1:11" ht="20.25">
      <c r="A15" s="159" t="str">
        <f>+A7</f>
        <v>Liquid Transportation Pipeline Carriers</v>
      </c>
      <c r="B15" s="219"/>
      <c r="C15" s="219"/>
      <c r="D15" s="340"/>
      <c r="E15" s="219"/>
      <c r="F15" s="219">
        <f>+'Dividends '!K25</f>
        <v>6.6637690060939711E-2</v>
      </c>
      <c r="G15" s="219">
        <f>+Earnings!K25</f>
        <v>0.10064241629820768</v>
      </c>
      <c r="H15" s="219"/>
    </row>
    <row r="16" spans="1:11" ht="21" thickBot="1">
      <c r="A16" s="152" t="s">
        <v>0</v>
      </c>
      <c r="B16" s="200" t="s">
        <v>0</v>
      </c>
      <c r="C16" s="200"/>
      <c r="D16" s="341"/>
      <c r="E16" s="200"/>
      <c r="F16" s="245">
        <f>+'Dividends '!K26</f>
        <v>7.6585606909422663E-2</v>
      </c>
      <c r="G16" s="245">
        <f>+Earnings!K26</f>
        <v>9.9360724709068468E-2</v>
      </c>
      <c r="H16" s="200"/>
    </row>
    <row r="17" spans="1:18" ht="57.95" customHeight="1" thickBot="1">
      <c r="A17" s="12"/>
      <c r="B17" s="12"/>
      <c r="C17" s="12"/>
      <c r="D17" s="12"/>
      <c r="E17" s="12"/>
      <c r="F17" s="12"/>
      <c r="G17" s="12"/>
      <c r="H17" s="12"/>
      <c r="I17" s="12"/>
    </row>
    <row r="18" spans="1:18" ht="24.95" customHeight="1" thickBot="1">
      <c r="A18" s="161" t="s">
        <v>458</v>
      </c>
      <c r="B18" s="12"/>
      <c r="C18" s="12"/>
      <c r="D18" s="441"/>
      <c r="E18" s="12"/>
      <c r="F18" s="12"/>
      <c r="G18" s="12"/>
      <c r="H18" s="12"/>
      <c r="I18" s="12"/>
    </row>
    <row r="19" spans="1:18" ht="20.100000000000001" customHeight="1">
      <c r="A19" s="12"/>
      <c r="B19" s="12"/>
      <c r="C19" s="12"/>
      <c r="D19" s="458" t="s">
        <v>458</v>
      </c>
      <c r="E19" s="12"/>
      <c r="F19" s="12"/>
      <c r="G19" s="12"/>
      <c r="H19" s="12"/>
      <c r="I19" s="12"/>
    </row>
    <row r="20" spans="1:18" ht="27.95" customHeight="1">
      <c r="A20" s="459"/>
      <c r="B20" s="435"/>
      <c r="C20" s="460" t="s">
        <v>478</v>
      </c>
      <c r="D20" s="461"/>
      <c r="E20" s="12"/>
      <c r="F20" s="12"/>
      <c r="G20" s="12"/>
      <c r="H20" s="12"/>
      <c r="I20" s="12"/>
    </row>
    <row r="21" spans="1:18" ht="27.95" customHeight="1">
      <c r="A21" s="380"/>
      <c r="C21" s="462" t="s">
        <v>459</v>
      </c>
      <c r="D21" s="463">
        <v>4.19E-2</v>
      </c>
      <c r="E21" s="12"/>
      <c r="F21" s="12"/>
      <c r="G21" s="12"/>
      <c r="H21" s="12"/>
      <c r="I21" s="12"/>
    </row>
    <row r="22" spans="1:18" ht="27" customHeight="1">
      <c r="A22" s="380"/>
      <c r="C22" s="462" t="s">
        <v>460</v>
      </c>
      <c r="D22" s="463">
        <v>4.8099999999999997E-2</v>
      </c>
      <c r="E22" s="12"/>
      <c r="F22" s="12"/>
      <c r="G22" s="12"/>
      <c r="H22" s="12"/>
      <c r="I22" s="12"/>
    </row>
    <row r="23" spans="1:18" ht="27" customHeight="1" thickBot="1">
      <c r="A23" s="380"/>
      <c r="C23" s="462" t="s">
        <v>461</v>
      </c>
      <c r="D23" s="463">
        <v>4.8599999999999997E-2</v>
      </c>
      <c r="E23" s="12"/>
      <c r="F23" s="12"/>
      <c r="G23" s="464" t="s">
        <v>462</v>
      </c>
      <c r="I23" s="12"/>
    </row>
    <row r="24" spans="1:18" ht="27" customHeight="1" thickBot="1">
      <c r="A24" s="380"/>
      <c r="B24" s="12"/>
      <c r="C24" s="465" t="s">
        <v>479</v>
      </c>
      <c r="D24" s="466"/>
      <c r="E24" s="12"/>
      <c r="F24" s="12"/>
      <c r="G24" s="467">
        <v>4.8099999999999997E-2</v>
      </c>
      <c r="H24" s="12"/>
      <c r="I24" s="12"/>
    </row>
    <row r="25" spans="1:18" ht="27" customHeight="1">
      <c r="A25" s="380"/>
      <c r="C25" s="462" t="s">
        <v>459</v>
      </c>
      <c r="D25" s="463">
        <v>4.1200000000000001E-2</v>
      </c>
      <c r="E25" s="12"/>
      <c r="F25" s="12"/>
      <c r="G25" s="12"/>
      <c r="H25" s="12"/>
      <c r="I25" s="12"/>
    </row>
    <row r="26" spans="1:18" ht="27" customHeight="1">
      <c r="A26" s="380"/>
      <c r="C26" s="462" t="s">
        <v>463</v>
      </c>
      <c r="D26" s="463">
        <v>0</v>
      </c>
      <c r="E26" s="12"/>
      <c r="F26" s="12"/>
      <c r="G26" s="12"/>
      <c r="H26" s="12"/>
      <c r="I26" s="12"/>
    </row>
    <row r="27" spans="1:18" ht="27" customHeight="1">
      <c r="A27" s="380"/>
      <c r="C27" s="462" t="s">
        <v>464</v>
      </c>
      <c r="D27" s="463">
        <v>4.8300000000000003E-2</v>
      </c>
      <c r="E27" s="12"/>
      <c r="F27" s="12"/>
      <c r="G27" s="12"/>
      <c r="H27" s="12"/>
      <c r="I27" s="12"/>
    </row>
    <row r="28" spans="1:18" ht="27" customHeight="1">
      <c r="A28" s="380"/>
      <c r="C28" s="468" t="s">
        <v>480</v>
      </c>
      <c r="D28" s="469">
        <v>4.1799999999999997E-2</v>
      </c>
      <c r="E28" s="12"/>
      <c r="F28" s="12"/>
      <c r="G28" s="12"/>
      <c r="H28" s="12"/>
      <c r="I28" s="12"/>
    </row>
    <row r="29" spans="1:18" ht="20.25">
      <c r="A29" s="470"/>
      <c r="B29" s="228"/>
      <c r="C29" s="471" t="s">
        <v>481</v>
      </c>
      <c r="D29" s="472">
        <v>4.7899999999999998E-2</v>
      </c>
      <c r="L29" s="12"/>
    </row>
    <row r="30" spans="1:18" ht="63.6" customHeight="1" thickBot="1">
      <c r="B30" s="12"/>
      <c r="C30" s="12"/>
      <c r="D30" s="28"/>
      <c r="E30" s="28"/>
      <c r="F30" s="28"/>
      <c r="G30" s="12"/>
      <c r="H30" s="12"/>
      <c r="I30" s="12"/>
      <c r="L30" s="12"/>
    </row>
    <row r="31" spans="1:18" ht="26.25">
      <c r="B31" s="29"/>
      <c r="C31" s="29"/>
      <c r="D31" s="12"/>
      <c r="E31" s="30" t="s">
        <v>199</v>
      </c>
      <c r="F31" s="12"/>
      <c r="G31" s="12"/>
      <c r="H31" s="12"/>
      <c r="I31" s="12"/>
      <c r="J31" s="473" t="s">
        <v>0</v>
      </c>
      <c r="K31" s="85"/>
      <c r="L31" s="85"/>
      <c r="M31" s="85"/>
      <c r="N31" s="85"/>
      <c r="O31" s="12"/>
      <c r="P31" s="12"/>
      <c r="Q31" s="12"/>
      <c r="R31" s="12"/>
    </row>
    <row r="32" spans="1:18" ht="21" thickBot="1">
      <c r="A32" s="148"/>
      <c r="B32" s="29"/>
      <c r="C32" s="29"/>
      <c r="D32" s="28"/>
      <c r="E32" s="35" t="s">
        <v>487</v>
      </c>
      <c r="F32" s="28"/>
      <c r="G32" s="12"/>
      <c r="H32" s="12"/>
      <c r="I32" s="12"/>
      <c r="J32" s="474"/>
      <c r="K32" s="475"/>
      <c r="L32" s="475"/>
      <c r="M32" s="85"/>
      <c r="N32" s="85"/>
      <c r="O32" s="12"/>
      <c r="P32" s="12"/>
      <c r="Q32" s="12"/>
      <c r="R32" s="12"/>
    </row>
    <row r="33" spans="1:18" ht="21" thickBot="1">
      <c r="A33" s="147" t="s">
        <v>434</v>
      </c>
      <c r="B33" s="29"/>
      <c r="C33" s="29"/>
      <c r="D33" s="33"/>
      <c r="E33" s="145"/>
      <c r="F33" s="12"/>
      <c r="G33" s="12"/>
      <c r="H33" s="12"/>
      <c r="I33" s="12"/>
      <c r="J33" s="474"/>
      <c r="K33" s="474"/>
      <c r="L33" s="474"/>
      <c r="M33" s="475"/>
      <c r="N33" s="508" t="s">
        <v>0</v>
      </c>
      <c r="O33" s="12"/>
      <c r="P33" s="12"/>
      <c r="Q33" s="12"/>
      <c r="R33" s="12"/>
    </row>
    <row r="34" spans="1:18" ht="18.75">
      <c r="A34" s="39" t="s">
        <v>0</v>
      </c>
      <c r="B34" s="39"/>
      <c r="C34" s="39"/>
      <c r="D34" s="39" t="s">
        <v>0</v>
      </c>
      <c r="E34" s="39" t="s">
        <v>0</v>
      </c>
      <c r="F34" s="39" t="s">
        <v>0</v>
      </c>
      <c r="G34" s="39"/>
      <c r="H34" s="12"/>
      <c r="I34" s="12"/>
      <c r="J34" s="474"/>
      <c r="K34" s="476"/>
      <c r="L34" s="474"/>
      <c r="M34" s="475"/>
      <c r="N34" s="85"/>
      <c r="O34" s="12"/>
      <c r="P34" s="12"/>
      <c r="Q34" s="12"/>
      <c r="R34" s="12"/>
    </row>
    <row r="35" spans="1:18" ht="20.25">
      <c r="A35" s="33" t="s">
        <v>0</v>
      </c>
      <c r="B35" s="33"/>
      <c r="C35" s="33"/>
      <c r="D35" s="418" t="s">
        <v>78</v>
      </c>
      <c r="E35" s="418" t="s">
        <v>235</v>
      </c>
      <c r="F35" s="418" t="s">
        <v>121</v>
      </c>
      <c r="G35" s="242"/>
      <c r="H35" s="12"/>
      <c r="I35" s="12"/>
      <c r="J35" s="474"/>
      <c r="K35" s="474"/>
      <c r="L35" s="474"/>
      <c r="M35" s="475"/>
      <c r="N35" s="85"/>
      <c r="O35" s="12"/>
      <c r="P35" s="12"/>
      <c r="Q35" s="12"/>
      <c r="R35" s="12"/>
    </row>
    <row r="36" spans="1:18" ht="20.25">
      <c r="A36" s="487" t="s">
        <v>119</v>
      </c>
      <c r="B36" s="488"/>
      <c r="C36" s="489"/>
      <c r="D36" s="419" t="s">
        <v>80</v>
      </c>
      <c r="E36" s="419" t="s">
        <v>120</v>
      </c>
      <c r="F36" s="419" t="s">
        <v>122</v>
      </c>
      <c r="G36" s="242"/>
      <c r="H36" s="12"/>
      <c r="I36" s="12"/>
      <c r="J36" s="475"/>
      <c r="K36" s="475"/>
      <c r="L36" s="477"/>
      <c r="M36" s="475"/>
      <c r="N36" s="85"/>
      <c r="O36" s="12"/>
      <c r="P36" s="12"/>
      <c r="Q36" s="12"/>
      <c r="R36" s="12"/>
    </row>
    <row r="37" spans="1:18" ht="18.75">
      <c r="H37" s="417"/>
      <c r="J37" s="475"/>
      <c r="K37" s="475"/>
      <c r="L37" s="85"/>
      <c r="M37" s="85"/>
      <c r="N37" s="85"/>
      <c r="O37" s="12"/>
      <c r="P37" s="12"/>
      <c r="Q37" s="12"/>
      <c r="R37" s="12"/>
    </row>
    <row r="38" spans="1:18" ht="20.25">
      <c r="A38" s="420" t="s">
        <v>236</v>
      </c>
      <c r="B38" s="162"/>
      <c r="C38" s="195"/>
      <c r="D38" s="421">
        <v>2.2499999999999999E-2</v>
      </c>
      <c r="E38" s="422" t="s">
        <v>420</v>
      </c>
      <c r="F38" s="422" t="s">
        <v>420</v>
      </c>
      <c r="H38" s="417" t="s">
        <v>0</v>
      </c>
      <c r="J38" s="478"/>
      <c r="K38" s="475"/>
      <c r="L38" s="475"/>
      <c r="M38" s="85"/>
      <c r="N38" s="85"/>
      <c r="O38" s="12"/>
      <c r="P38" s="12"/>
      <c r="Q38" s="12"/>
      <c r="R38" s="12"/>
    </row>
    <row r="39" spans="1:18" ht="20.25">
      <c r="A39" s="423" t="s">
        <v>237</v>
      </c>
      <c r="B39" s="60"/>
      <c r="C39" s="196"/>
      <c r="D39" s="424">
        <v>2.4199999999999999E-2</v>
      </c>
      <c r="E39" s="425" t="s">
        <v>420</v>
      </c>
      <c r="F39" s="425" t="s">
        <v>420</v>
      </c>
      <c r="H39" s="29" t="s">
        <v>0</v>
      </c>
      <c r="I39" s="12"/>
      <c r="J39" s="478"/>
      <c r="K39" s="475"/>
      <c r="L39" s="475"/>
      <c r="M39" s="85"/>
      <c r="N39" s="85"/>
      <c r="O39" s="12"/>
      <c r="P39" s="12"/>
      <c r="Q39" s="12"/>
      <c r="R39" s="12"/>
    </row>
    <row r="40" spans="1:18" ht="20.25">
      <c r="A40" s="426" t="s">
        <v>238</v>
      </c>
      <c r="B40" s="164"/>
      <c r="C40" s="197"/>
      <c r="D40" s="427">
        <v>2.23E-2</v>
      </c>
      <c r="E40" s="428" t="s">
        <v>420</v>
      </c>
      <c r="F40" s="428" t="s">
        <v>420</v>
      </c>
      <c r="H40" s="129" t="s">
        <v>0</v>
      </c>
      <c r="I40" s="12"/>
      <c r="J40" s="478"/>
      <c r="K40" s="475"/>
      <c r="L40" s="475"/>
      <c r="M40" s="85"/>
      <c r="N40" s="85"/>
      <c r="O40" s="12"/>
      <c r="P40" s="12"/>
      <c r="Q40" s="12"/>
      <c r="R40" s="12"/>
    </row>
    <row r="41" spans="1:18" ht="20.25">
      <c r="A41" s="423" t="s">
        <v>239</v>
      </c>
      <c r="B41" s="60"/>
      <c r="C41" s="196"/>
      <c r="D41" s="429">
        <v>2.29E-2</v>
      </c>
      <c r="E41" s="429">
        <v>2.01E-2</v>
      </c>
      <c r="F41" s="424">
        <f t="shared" ref="F41:F49" si="0">+D41+E41</f>
        <v>4.2999999999999997E-2</v>
      </c>
      <c r="H41" s="12" t="s">
        <v>0</v>
      </c>
      <c r="I41" s="12"/>
      <c r="J41" s="478"/>
      <c r="K41" s="475"/>
      <c r="L41" s="475"/>
      <c r="M41" s="85"/>
      <c r="N41" s="85"/>
      <c r="O41" s="12"/>
      <c r="P41" s="12"/>
      <c r="Q41" s="12"/>
      <c r="R41" s="12"/>
    </row>
    <row r="42" spans="1:18" ht="20.25">
      <c r="A42" s="423" t="s">
        <v>435</v>
      </c>
      <c r="B42" s="60"/>
      <c r="C42" s="196"/>
      <c r="D42" s="429">
        <v>2.4E-2</v>
      </c>
      <c r="E42" s="429">
        <v>0.02</v>
      </c>
      <c r="F42" s="424">
        <f t="shared" si="0"/>
        <v>4.3999999999999997E-2</v>
      </c>
      <c r="H42" s="12"/>
      <c r="I42" s="12"/>
      <c r="J42" s="478"/>
      <c r="K42" s="475"/>
      <c r="L42" s="85"/>
      <c r="M42" s="85"/>
      <c r="N42" s="85"/>
      <c r="O42" s="12"/>
      <c r="P42" s="12"/>
      <c r="Q42" s="12"/>
      <c r="R42" s="12"/>
    </row>
    <row r="43" spans="1:18" ht="20.25">
      <c r="A43" s="426" t="s">
        <v>436</v>
      </c>
      <c r="B43" s="164"/>
      <c r="C43" s="197"/>
      <c r="D43" s="430">
        <v>2.3400000000000001E-2</v>
      </c>
      <c r="E43" s="430">
        <v>2.1000000000000001E-2</v>
      </c>
      <c r="F43" s="427">
        <f t="shared" si="0"/>
        <v>4.4400000000000002E-2</v>
      </c>
      <c r="H43" s="12"/>
      <c r="I43" s="12"/>
      <c r="J43" s="478"/>
      <c r="K43" s="475"/>
      <c r="L43" s="85"/>
      <c r="M43" s="85"/>
      <c r="N43" s="85"/>
      <c r="O43" s="12"/>
      <c r="P43" s="12"/>
      <c r="Q43" s="12"/>
      <c r="R43" s="12"/>
    </row>
    <row r="44" spans="1:18" ht="20.25">
      <c r="A44" s="423" t="s">
        <v>437</v>
      </c>
      <c r="B44" s="60"/>
      <c r="C44" s="196"/>
      <c r="D44" s="424">
        <v>2.3E-2</v>
      </c>
      <c r="E44" s="429">
        <v>1.7999999999999999E-2</v>
      </c>
      <c r="F44" s="424">
        <f t="shared" si="0"/>
        <v>4.0999999999999995E-2</v>
      </c>
      <c r="H44" s="128" t="s">
        <v>0</v>
      </c>
      <c r="I44" s="12"/>
      <c r="J44" s="478"/>
      <c r="K44" s="475"/>
      <c r="L44" s="85"/>
      <c r="M44" s="85"/>
      <c r="N44" s="85"/>
      <c r="O44" s="12"/>
      <c r="P44" s="12"/>
      <c r="Q44" s="12"/>
      <c r="R44" s="12"/>
    </row>
    <row r="45" spans="1:18" ht="20.25">
      <c r="A45" s="423" t="s">
        <v>438</v>
      </c>
      <c r="B45" s="60"/>
      <c r="C45" s="196"/>
      <c r="D45" s="424">
        <v>2.3E-2</v>
      </c>
      <c r="E45" s="429">
        <v>2.1000000000000001E-2</v>
      </c>
      <c r="F45" s="424">
        <f t="shared" si="0"/>
        <v>4.3999999999999997E-2</v>
      </c>
      <c r="H45" s="128" t="s">
        <v>0</v>
      </c>
      <c r="I45" s="12"/>
      <c r="J45" s="478"/>
      <c r="K45" s="475"/>
      <c r="L45" s="85"/>
      <c r="M45" s="85"/>
      <c r="N45" s="85"/>
      <c r="O45" s="12"/>
      <c r="P45" s="12"/>
      <c r="Q45" s="12"/>
      <c r="R45" s="12"/>
    </row>
    <row r="46" spans="1:18" ht="20.25">
      <c r="A46" s="426" t="s">
        <v>439</v>
      </c>
      <c r="B46" s="164"/>
      <c r="C46" s="197"/>
      <c r="D46" s="427">
        <v>2.3E-2</v>
      </c>
      <c r="E46" s="430">
        <v>1.9E-2</v>
      </c>
      <c r="F46" s="427">
        <f t="shared" si="0"/>
        <v>4.1999999999999996E-2</v>
      </c>
      <c r="H46" s="12"/>
      <c r="I46" s="12"/>
      <c r="J46" s="478"/>
      <c r="K46" s="475"/>
      <c r="L46" s="85"/>
      <c r="M46" s="85"/>
      <c r="N46" s="85"/>
      <c r="O46" s="12"/>
      <c r="P46" s="12"/>
      <c r="Q46" s="12"/>
      <c r="R46" s="12"/>
    </row>
    <row r="47" spans="1:18" ht="20.25">
      <c r="A47" s="423" t="s">
        <v>440</v>
      </c>
      <c r="B47" s="60"/>
      <c r="C47" s="196"/>
      <c r="D47" s="424">
        <v>2.3E-2</v>
      </c>
      <c r="E47" s="429">
        <v>2.1000000000000001E-2</v>
      </c>
      <c r="F47" s="424">
        <f t="shared" si="0"/>
        <v>4.3999999999999997E-2</v>
      </c>
      <c r="H47" s="12"/>
      <c r="I47" s="12"/>
      <c r="J47" s="478"/>
      <c r="K47" s="475"/>
      <c r="L47" s="85"/>
      <c r="M47" s="85"/>
      <c r="N47" s="85"/>
      <c r="O47" s="12"/>
      <c r="P47" s="12"/>
      <c r="Q47" s="12"/>
      <c r="R47" s="12"/>
    </row>
    <row r="48" spans="1:18" ht="20.25">
      <c r="A48" s="423" t="s">
        <v>441</v>
      </c>
      <c r="B48" s="60"/>
      <c r="C48" s="196"/>
      <c r="D48" s="425" t="s">
        <v>420</v>
      </c>
      <c r="E48" s="429">
        <v>2.1999999999999999E-2</v>
      </c>
      <c r="F48" s="425" t="s">
        <v>420</v>
      </c>
      <c r="H48" s="12"/>
      <c r="I48" s="12"/>
      <c r="J48" s="478"/>
      <c r="K48" s="475"/>
      <c r="L48" s="85"/>
      <c r="M48" s="85"/>
      <c r="N48" s="85"/>
      <c r="O48" s="12"/>
      <c r="P48" s="12"/>
      <c r="Q48" s="12"/>
      <c r="R48" s="12"/>
    </row>
    <row r="49" spans="1:18" ht="20.25">
      <c r="A49" s="426" t="s">
        <v>442</v>
      </c>
      <c r="B49" s="164"/>
      <c r="C49" s="197"/>
      <c r="D49" s="427">
        <v>0.02</v>
      </c>
      <c r="E49" s="427">
        <v>1.7999999999999999E-2</v>
      </c>
      <c r="F49" s="427">
        <f t="shared" si="0"/>
        <v>3.7999999999999999E-2</v>
      </c>
      <c r="H49" s="12"/>
      <c r="I49" s="12"/>
      <c r="J49" s="478"/>
      <c r="K49" s="479"/>
      <c r="L49" s="85"/>
      <c r="M49" s="85"/>
      <c r="N49" s="85"/>
      <c r="O49" s="12"/>
      <c r="P49" s="12"/>
      <c r="Q49" s="12"/>
      <c r="R49" s="12"/>
    </row>
    <row r="50" spans="1:18" ht="20.25">
      <c r="A50" s="106"/>
      <c r="B50" s="123"/>
      <c r="C50" s="123" t="s">
        <v>45</v>
      </c>
      <c r="D50" s="431">
        <f>MAX(D38:D49)</f>
        <v>2.4199999999999999E-2</v>
      </c>
      <c r="E50" s="431">
        <f>MAX(E38:E49)</f>
        <v>2.1999999999999999E-2</v>
      </c>
      <c r="F50" s="431">
        <f>MAX(F38:F49)</f>
        <v>4.4400000000000002E-2</v>
      </c>
      <c r="G50" s="243"/>
      <c r="H50" s="12"/>
      <c r="I50" s="12"/>
      <c r="L50" s="12"/>
      <c r="M50" s="12"/>
      <c r="N50" s="12"/>
      <c r="Q50" s="12"/>
      <c r="R50" s="12"/>
    </row>
    <row r="51" spans="1:18" ht="18.75" customHeight="1">
      <c r="A51" s="106"/>
      <c r="B51" s="123"/>
      <c r="C51" s="123" t="s">
        <v>46</v>
      </c>
      <c r="D51" s="431">
        <f>MIN(D38:D49)</f>
        <v>0.02</v>
      </c>
      <c r="E51" s="431">
        <f>MIN(E38:E49)</f>
        <v>1.7999999999999999E-2</v>
      </c>
      <c r="F51" s="432">
        <f>MIN(F38:F49)</f>
        <v>3.7999999999999999E-2</v>
      </c>
      <c r="G51" s="244"/>
      <c r="H51" s="12"/>
      <c r="I51" s="12"/>
      <c r="L51" s="12"/>
      <c r="M51" s="12"/>
      <c r="N51" s="12"/>
      <c r="O51" s="12"/>
      <c r="R51" s="12"/>
    </row>
    <row r="52" spans="1:18" ht="20.25">
      <c r="A52" s="106"/>
      <c r="B52" s="123"/>
      <c r="C52" s="123" t="s">
        <v>18</v>
      </c>
      <c r="D52" s="433">
        <f>MEDIAN(D38:D49)</f>
        <v>2.3E-2</v>
      </c>
      <c r="E52" s="433">
        <f>MEDIAN(E38:E49)</f>
        <v>2.01E-2</v>
      </c>
      <c r="F52" s="424">
        <f t="shared" ref="F52:F53" si="1">+D52+E52</f>
        <v>4.3099999999999999E-2</v>
      </c>
      <c r="G52" s="244"/>
      <c r="H52" s="12"/>
      <c r="I52" s="12"/>
      <c r="L52" s="12"/>
      <c r="M52" s="12"/>
      <c r="N52" s="12"/>
      <c r="O52" s="12"/>
      <c r="R52" s="12"/>
    </row>
    <row r="53" spans="1:18" ht="20.25">
      <c r="A53" s="106"/>
      <c r="B53" s="123"/>
      <c r="C53" s="123" t="s">
        <v>19</v>
      </c>
      <c r="D53" s="430">
        <f>AVERAGE(D38:D49)</f>
        <v>2.2845454545454544E-2</v>
      </c>
      <c r="E53" s="430">
        <f>AVERAGE(E38:E49)</f>
        <v>2.0011111111111108E-2</v>
      </c>
      <c r="F53" s="427">
        <f t="shared" si="1"/>
        <v>4.2856565656565648E-2</v>
      </c>
      <c r="G53" s="243"/>
      <c r="H53" s="12"/>
      <c r="I53" s="12"/>
      <c r="L53" s="12"/>
      <c r="M53" s="12"/>
      <c r="N53" s="12"/>
      <c r="O53" s="12"/>
      <c r="R53" s="12"/>
    </row>
    <row r="54" spans="1:18" ht="18.75">
      <c r="A54" s="12"/>
      <c r="B54" s="14"/>
      <c r="D54" s="211"/>
      <c r="E54" s="211"/>
      <c r="F54" s="211"/>
      <c r="G54" s="243"/>
      <c r="H54" s="12"/>
      <c r="I54" s="12"/>
      <c r="L54" s="12"/>
      <c r="M54" s="12"/>
      <c r="N54" s="12"/>
      <c r="O54" s="12"/>
    </row>
    <row r="55" spans="1:18" ht="16.5" customHeight="1" thickBot="1">
      <c r="A55" s="12"/>
      <c r="B55" s="14"/>
      <c r="D55" s="211"/>
      <c r="E55" s="211"/>
      <c r="F55" s="211"/>
      <c r="L55" s="12"/>
      <c r="M55" s="12"/>
      <c r="N55" s="12"/>
      <c r="O55" s="12"/>
    </row>
    <row r="56" spans="1:18" ht="27" thickBot="1">
      <c r="A56" s="12"/>
      <c r="B56" s="129"/>
      <c r="C56" s="47" t="s">
        <v>200</v>
      </c>
      <c r="D56" s="467">
        <v>2.2800000000000001E-2</v>
      </c>
      <c r="E56" s="467">
        <v>0.02</v>
      </c>
      <c r="F56" s="480">
        <v>4.2900000000000001E-2</v>
      </c>
      <c r="L56" s="12"/>
      <c r="M56" s="12"/>
      <c r="N56" s="12"/>
      <c r="O56" s="12"/>
    </row>
    <row r="57" spans="1:18" ht="16.5" customHeight="1">
      <c r="L57" s="12"/>
      <c r="N57" s="12"/>
    </row>
    <row r="58" spans="1:18" ht="16.5">
      <c r="A58" s="12"/>
      <c r="B58" s="12"/>
      <c r="C58" s="12"/>
      <c r="D58" s="12"/>
      <c r="E58" s="12"/>
      <c r="F58" s="12"/>
      <c r="G58" s="12"/>
      <c r="I58" s="12"/>
      <c r="L58" s="12"/>
      <c r="N58" s="12"/>
    </row>
    <row r="59" spans="1:18" ht="19.5" customHeight="1">
      <c r="A59" s="434" t="s">
        <v>443</v>
      </c>
      <c r="B59" s="435"/>
      <c r="C59" s="436"/>
      <c r="D59" s="12"/>
      <c r="E59" s="12"/>
      <c r="F59" s="12"/>
      <c r="I59" s="12"/>
      <c r="L59" s="12"/>
      <c r="M59" s="12"/>
      <c r="N59" s="12"/>
    </row>
    <row r="60" spans="1:18" ht="19.5" customHeight="1">
      <c r="A60" s="434" t="s">
        <v>497</v>
      </c>
      <c r="B60" s="435"/>
      <c r="C60" s="435"/>
      <c r="D60" s="435"/>
      <c r="E60" s="435"/>
      <c r="F60" s="435"/>
      <c r="G60" s="437"/>
      <c r="I60" s="12"/>
      <c r="L60" s="12"/>
      <c r="M60" s="12"/>
      <c r="N60" s="12"/>
    </row>
    <row r="61" spans="1:18" ht="19.5" customHeight="1">
      <c r="A61" s="438" t="s">
        <v>498</v>
      </c>
      <c r="B61" s="12"/>
      <c r="C61" s="12"/>
      <c r="D61" s="12"/>
      <c r="E61" s="12"/>
      <c r="F61" s="12"/>
      <c r="G61" s="439"/>
      <c r="I61" s="12"/>
      <c r="L61" s="12"/>
      <c r="M61" s="12"/>
      <c r="N61" s="12"/>
      <c r="O61" s="481"/>
    </row>
    <row r="62" spans="1:18" ht="19.5" customHeight="1">
      <c r="A62" s="438" t="s">
        <v>499</v>
      </c>
      <c r="B62" s="12"/>
      <c r="C62" s="12"/>
      <c r="D62" s="12"/>
      <c r="E62" s="12"/>
      <c r="F62" s="12"/>
      <c r="G62" s="439"/>
      <c r="I62" s="12"/>
      <c r="L62" s="12"/>
      <c r="M62" s="12"/>
      <c r="N62" s="12"/>
      <c r="O62" s="481"/>
      <c r="P62" s="85"/>
      <c r="Q62" s="12"/>
      <c r="R62" s="12"/>
    </row>
    <row r="63" spans="1:18" ht="19.5" customHeight="1">
      <c r="A63" s="440" t="s">
        <v>500</v>
      </c>
      <c r="B63" s="441"/>
      <c r="C63" s="441"/>
      <c r="D63" s="441"/>
      <c r="E63" s="441"/>
      <c r="F63" s="441"/>
      <c r="G63" s="442"/>
      <c r="I63" s="12"/>
      <c r="L63" s="12"/>
      <c r="M63" s="12"/>
      <c r="N63" s="12"/>
      <c r="O63" s="481"/>
      <c r="P63" s="85"/>
      <c r="Q63" s="12"/>
      <c r="R63" s="12"/>
    </row>
    <row r="64" spans="1:18" ht="17.25">
      <c r="A64" s="106"/>
      <c r="B64" s="12"/>
      <c r="C64" s="12"/>
      <c r="D64" s="12"/>
      <c r="E64" s="12"/>
      <c r="F64" s="12"/>
      <c r="I64" s="12"/>
      <c r="L64" s="12"/>
      <c r="M64" s="12"/>
      <c r="N64" s="12"/>
      <c r="O64" s="12"/>
      <c r="P64" s="12"/>
      <c r="Q64" s="12"/>
      <c r="R64" s="12"/>
    </row>
    <row r="65" spans="1:18" ht="15.6" customHeight="1">
      <c r="A65" s="443" t="s">
        <v>240</v>
      </c>
      <c r="B65" s="444"/>
      <c r="C65" s="435"/>
      <c r="D65" s="435"/>
      <c r="E65" s="435"/>
      <c r="F65" s="436"/>
      <c r="G65" s="12"/>
      <c r="I65" s="12"/>
      <c r="L65" s="12"/>
      <c r="M65" s="12"/>
      <c r="N65" s="12"/>
      <c r="O65" s="12"/>
      <c r="P65" s="12"/>
      <c r="Q65" s="12"/>
      <c r="R65" s="12"/>
    </row>
    <row r="66" spans="1:18" ht="15.6" customHeight="1">
      <c r="A66" s="163" t="s">
        <v>444</v>
      </c>
      <c r="B66" s="12"/>
      <c r="C66" s="12"/>
      <c r="E66" s="12"/>
      <c r="F66" s="342"/>
      <c r="G66" s="12"/>
      <c r="I66" s="12"/>
      <c r="L66" s="12"/>
      <c r="M66" s="12"/>
      <c r="N66" s="12"/>
      <c r="O66" s="12"/>
      <c r="P66" s="12"/>
      <c r="Q66" s="12"/>
      <c r="R66" s="12"/>
    </row>
    <row r="67" spans="1:18" ht="15.6" customHeight="1">
      <c r="A67" s="445" t="s">
        <v>241</v>
      </c>
      <c r="B67" s="441"/>
      <c r="C67" s="441"/>
      <c r="D67" s="441"/>
      <c r="E67" s="441"/>
      <c r="F67" s="309"/>
      <c r="G67" s="12"/>
      <c r="I67" s="12" t="s">
        <v>0</v>
      </c>
      <c r="L67" s="12"/>
      <c r="M67" s="12"/>
      <c r="N67" s="12"/>
      <c r="O67" s="12"/>
      <c r="P67" s="12"/>
      <c r="Q67" s="12"/>
      <c r="R67" s="12"/>
    </row>
    <row r="68" spans="1:18" ht="16.5">
      <c r="A68" s="385"/>
      <c r="B68" s="12"/>
      <c r="C68" s="12"/>
      <c r="D68" s="12"/>
      <c r="E68" s="12"/>
      <c r="F68" s="12"/>
      <c r="G68" s="12"/>
      <c r="I68" s="12"/>
      <c r="L68" s="12"/>
      <c r="M68" s="12"/>
      <c r="N68" s="12"/>
      <c r="O68" s="12"/>
      <c r="P68" s="12"/>
      <c r="Q68" s="12"/>
      <c r="R68" s="12"/>
    </row>
    <row r="69" spans="1:18" ht="17.25">
      <c r="A69" s="143" t="s">
        <v>445</v>
      </c>
      <c r="B69" s="131"/>
      <c r="C69" s="131"/>
      <c r="D69" s="131"/>
      <c r="E69" s="132"/>
      <c r="F69" s="131"/>
      <c r="G69" s="131"/>
      <c r="H69" s="131"/>
      <c r="I69" s="12"/>
      <c r="L69" s="12"/>
      <c r="M69" s="12"/>
      <c r="N69" s="12"/>
      <c r="O69" s="12"/>
      <c r="P69" s="12"/>
      <c r="Q69" s="12"/>
      <c r="R69" s="12"/>
    </row>
    <row r="70" spans="1:18" ht="17.25">
      <c r="A70" s="143"/>
      <c r="B70" s="131"/>
      <c r="C70" s="131"/>
      <c r="D70" s="131"/>
      <c r="E70" s="132"/>
      <c r="F70" s="131"/>
      <c r="G70" s="131"/>
      <c r="H70" s="131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6.5">
      <c r="A71" s="446" t="s">
        <v>446</v>
      </c>
      <c r="B71" s="131"/>
      <c r="C71" s="131"/>
      <c r="D71" s="131"/>
      <c r="E71" s="132"/>
      <c r="F71" s="131"/>
      <c r="G71" s="131"/>
      <c r="H71" s="131"/>
      <c r="I71" s="12"/>
    </row>
    <row r="72" spans="1:18" ht="16.5">
      <c r="A72" s="447" t="s">
        <v>501</v>
      </c>
      <c r="B72" s="131"/>
      <c r="C72" s="131"/>
      <c r="D72" s="131"/>
      <c r="E72" s="132"/>
      <c r="F72" s="131"/>
      <c r="G72" s="131"/>
      <c r="H72" s="131"/>
      <c r="I72" s="12"/>
    </row>
    <row r="73" spans="1:18" ht="16.5">
      <c r="A73" s="146" t="s">
        <v>382</v>
      </c>
      <c r="B73" s="449"/>
      <c r="C73" s="131"/>
      <c r="D73" s="131"/>
      <c r="E73" s="132"/>
      <c r="F73" s="131"/>
      <c r="G73" s="131"/>
      <c r="H73" s="131"/>
      <c r="I73" s="12"/>
    </row>
    <row r="74" spans="1:18" ht="16.5">
      <c r="A74" s="146" t="s">
        <v>507</v>
      </c>
      <c r="B74" s="131"/>
      <c r="C74" s="131"/>
      <c r="D74" s="131"/>
      <c r="E74" s="132"/>
      <c r="F74" s="131"/>
      <c r="G74" s="131"/>
      <c r="H74" s="131"/>
      <c r="I74" s="12"/>
    </row>
    <row r="75" spans="1:18">
      <c r="A75" s="146"/>
    </row>
    <row r="76" spans="1:18" ht="16.5">
      <c r="A76" s="446" t="s">
        <v>447</v>
      </c>
    </row>
    <row r="77" spans="1:18">
      <c r="A77" s="450" t="s">
        <v>489</v>
      </c>
    </row>
    <row r="78" spans="1:18" ht="16.5">
      <c r="A78" s="450" t="s">
        <v>490</v>
      </c>
      <c r="B78" s="408"/>
    </row>
    <row r="79" spans="1:18" ht="16.5">
      <c r="A79" s="486" t="s">
        <v>139</v>
      </c>
      <c r="B79" s="131"/>
      <c r="C79" s="131"/>
      <c r="D79" s="131"/>
      <c r="E79" s="132"/>
      <c r="F79" s="131"/>
      <c r="G79" s="131"/>
      <c r="H79" s="131"/>
      <c r="I79" s="12"/>
    </row>
    <row r="80" spans="1:18" ht="16.5">
      <c r="A80" s="130"/>
      <c r="B80" s="131"/>
      <c r="C80" s="131"/>
      <c r="D80" s="131"/>
      <c r="E80" s="132"/>
      <c r="F80" s="131"/>
      <c r="G80" s="131"/>
      <c r="H80" s="131"/>
      <c r="I80" s="12"/>
    </row>
    <row r="81" spans="1:9" ht="16.5">
      <c r="A81" s="446" t="s">
        <v>448</v>
      </c>
      <c r="B81" s="131"/>
      <c r="C81" s="131"/>
      <c r="D81" s="131"/>
      <c r="E81" s="132"/>
      <c r="F81" s="131"/>
      <c r="G81" s="131"/>
      <c r="H81" s="131"/>
      <c r="I81" s="12"/>
    </row>
    <row r="82" spans="1:9" ht="16.5">
      <c r="A82" s="450" t="s">
        <v>482</v>
      </c>
      <c r="B82" s="449"/>
      <c r="C82" s="449"/>
      <c r="D82" s="131"/>
      <c r="E82" s="132"/>
      <c r="F82" s="131"/>
      <c r="G82" s="131"/>
      <c r="H82" s="131"/>
      <c r="I82" s="12"/>
    </row>
    <row r="83" spans="1:9" ht="16.5">
      <c r="A83" s="486" t="s">
        <v>140</v>
      </c>
      <c r="B83" s="131"/>
      <c r="C83" s="131"/>
      <c r="D83" s="131"/>
      <c r="E83" s="132"/>
      <c r="F83" s="131"/>
      <c r="G83" s="131"/>
      <c r="H83" s="131"/>
      <c r="I83" s="12"/>
    </row>
    <row r="84" spans="1:9" ht="16.5">
      <c r="A84" s="146"/>
      <c r="B84" s="131"/>
      <c r="C84" s="131"/>
      <c r="D84" s="131"/>
      <c r="E84" s="132"/>
      <c r="F84" s="131"/>
      <c r="G84" s="131"/>
      <c r="H84" s="131"/>
      <c r="I84" s="12"/>
    </row>
    <row r="85" spans="1:9" ht="16.5">
      <c r="A85" s="446" t="s">
        <v>449</v>
      </c>
      <c r="B85" s="131"/>
      <c r="D85" s="131" t="s">
        <v>0</v>
      </c>
      <c r="E85" s="132"/>
      <c r="F85" s="131"/>
      <c r="G85" s="131"/>
      <c r="H85" s="131"/>
      <c r="I85" s="12"/>
    </row>
    <row r="86" spans="1:9" ht="16.5">
      <c r="A86" s="453" t="s">
        <v>483</v>
      </c>
      <c r="G86" s="131"/>
      <c r="H86" s="131"/>
      <c r="I86" s="131"/>
    </row>
    <row r="87" spans="1:9" ht="16.5">
      <c r="A87" s="448" t="s">
        <v>450</v>
      </c>
      <c r="C87" s="131"/>
      <c r="E87" s="132"/>
      <c r="F87" s="131"/>
      <c r="G87" s="131"/>
      <c r="H87" s="131"/>
      <c r="I87" s="12"/>
    </row>
    <row r="88" spans="1:9" ht="16.5">
      <c r="A88" s="452" t="s">
        <v>484</v>
      </c>
      <c r="B88" s="452"/>
      <c r="C88" s="131"/>
      <c r="D88" s="452"/>
      <c r="E88" s="132"/>
      <c r="F88" s="131"/>
      <c r="G88" s="131"/>
      <c r="H88" s="131"/>
      <c r="I88" s="12"/>
    </row>
    <row r="89" spans="1:9" ht="16.5">
      <c r="A89" s="486" t="s">
        <v>485</v>
      </c>
      <c r="B89" s="452"/>
      <c r="C89" s="131"/>
      <c r="D89" s="452"/>
      <c r="E89" s="132"/>
      <c r="F89" s="131"/>
      <c r="G89" s="131"/>
      <c r="H89" s="131"/>
      <c r="I89" s="12"/>
    </row>
    <row r="90" spans="1:9" ht="16.5">
      <c r="A90" s="486" t="s">
        <v>451</v>
      </c>
      <c r="B90" s="131"/>
      <c r="C90" s="131"/>
      <c r="D90" s="131"/>
      <c r="E90" s="132"/>
      <c r="F90" s="131"/>
      <c r="G90" s="131"/>
      <c r="H90" s="131"/>
      <c r="I90" s="12"/>
    </row>
    <row r="91" spans="1:9" ht="16.5">
      <c r="A91" s="146"/>
      <c r="B91" s="131"/>
      <c r="D91" s="131"/>
      <c r="E91" s="132"/>
      <c r="F91" s="131"/>
      <c r="G91" s="131"/>
      <c r="H91" s="131"/>
      <c r="I91" s="12"/>
    </row>
    <row r="92" spans="1:9" ht="16.5">
      <c r="A92" s="446" t="s">
        <v>452</v>
      </c>
      <c r="B92" s="131"/>
      <c r="D92" s="131"/>
      <c r="E92" s="132"/>
      <c r="F92" s="131"/>
      <c r="G92" s="131"/>
      <c r="H92" s="131"/>
      <c r="I92" s="12"/>
    </row>
    <row r="93" spans="1:9" ht="16.5">
      <c r="A93" s="450" t="s">
        <v>486</v>
      </c>
      <c r="B93" s="131"/>
      <c r="D93" s="131"/>
      <c r="E93" s="132"/>
      <c r="F93" s="131"/>
      <c r="G93" s="131"/>
      <c r="H93" s="131"/>
      <c r="I93" s="12"/>
    </row>
    <row r="94" spans="1:9" ht="16.5">
      <c r="A94" s="486" t="s">
        <v>453</v>
      </c>
      <c r="B94" s="131"/>
      <c r="C94" s="131"/>
      <c r="D94" s="131"/>
      <c r="E94" s="132"/>
      <c r="F94" s="131"/>
      <c r="G94" s="131"/>
      <c r="H94" s="131"/>
      <c r="I94" s="12"/>
    </row>
    <row r="95" spans="1:9" ht="16.5">
      <c r="A95" s="451"/>
      <c r="C95" s="131"/>
      <c r="D95" s="131"/>
      <c r="E95" s="132"/>
      <c r="F95" s="131"/>
      <c r="G95" s="131"/>
      <c r="H95" s="131"/>
      <c r="I95" s="12"/>
    </row>
    <row r="96" spans="1:9" ht="16.5">
      <c r="A96" s="446" t="s">
        <v>454</v>
      </c>
      <c r="B96" s="131"/>
      <c r="C96" s="131"/>
      <c r="D96" s="131"/>
      <c r="E96" s="132"/>
      <c r="F96" s="131"/>
      <c r="G96" s="131"/>
      <c r="H96" s="131"/>
      <c r="I96" s="12"/>
    </row>
    <row r="97" spans="1:9" ht="16.5">
      <c r="A97" s="454" t="s">
        <v>491</v>
      </c>
      <c r="B97" s="131"/>
      <c r="C97" s="131"/>
      <c r="D97" s="131"/>
      <c r="E97" s="132"/>
      <c r="F97" s="131"/>
      <c r="G97" s="131"/>
      <c r="H97" s="131"/>
      <c r="I97" s="12"/>
    </row>
    <row r="98" spans="1:9" ht="16.5">
      <c r="A98" s="455" t="s">
        <v>455</v>
      </c>
      <c r="B98" s="456"/>
      <c r="C98" s="131"/>
      <c r="D98" s="131"/>
      <c r="E98" s="132"/>
      <c r="F98" s="131"/>
      <c r="G98" s="131"/>
      <c r="H98" s="131"/>
      <c r="I98" s="12"/>
    </row>
    <row r="99" spans="1:9" ht="16.5">
      <c r="A99" s="486" t="s">
        <v>456</v>
      </c>
      <c r="B99" s="131"/>
      <c r="C99" s="131"/>
      <c r="D99" s="131"/>
      <c r="E99" s="132"/>
      <c r="F99" s="131"/>
      <c r="G99" s="131"/>
      <c r="H99" s="131"/>
      <c r="I99" s="12"/>
    </row>
    <row r="100" spans="1:9" ht="16.5">
      <c r="A100" s="457"/>
      <c r="B100" s="131"/>
      <c r="C100" s="131"/>
      <c r="D100" s="131"/>
      <c r="E100" s="132"/>
      <c r="F100" s="131"/>
      <c r="G100" s="131"/>
      <c r="H100" s="131"/>
      <c r="I100" s="12"/>
    </row>
    <row r="101" spans="1:9" ht="16.5">
      <c r="A101" s="446" t="s">
        <v>457</v>
      </c>
      <c r="B101" s="131"/>
      <c r="C101" s="131"/>
      <c r="D101" s="131"/>
      <c r="E101" s="132"/>
      <c r="F101" s="131"/>
      <c r="G101" s="131"/>
      <c r="H101" s="131"/>
      <c r="I101" s="12"/>
    </row>
    <row r="102" spans="1:9" ht="16.5">
      <c r="A102" s="454" t="s">
        <v>491</v>
      </c>
      <c r="B102" s="131"/>
      <c r="C102" s="131"/>
      <c r="D102" s="131"/>
      <c r="E102" s="132"/>
      <c r="F102" s="131"/>
      <c r="G102" s="131"/>
      <c r="H102" s="131"/>
      <c r="I102" s="12"/>
    </row>
    <row r="103" spans="1:9" ht="16.5">
      <c r="A103" s="455" t="s">
        <v>502</v>
      </c>
      <c r="B103" s="131"/>
      <c r="C103" s="131"/>
      <c r="D103" s="131"/>
      <c r="E103" s="132"/>
      <c r="F103" s="131"/>
      <c r="G103" s="131"/>
      <c r="H103" s="131"/>
      <c r="I103" s="12"/>
    </row>
    <row r="104" spans="1:9" ht="16.5">
      <c r="A104" s="452" t="s">
        <v>492</v>
      </c>
      <c r="B104" s="131"/>
      <c r="C104" s="131"/>
      <c r="D104" s="131"/>
      <c r="E104" s="132"/>
      <c r="F104" s="131"/>
      <c r="G104" s="131"/>
      <c r="H104" s="131"/>
      <c r="I104" s="12"/>
    </row>
    <row r="105" spans="1:9">
      <c r="A105" s="457"/>
    </row>
    <row r="106" spans="1:9" ht="16.5">
      <c r="A106" s="409" t="s">
        <v>505</v>
      </c>
    </row>
    <row r="107" spans="1:9" ht="16.5">
      <c r="A107" s="452" t="s">
        <v>465</v>
      </c>
    </row>
    <row r="108" spans="1:9">
      <c r="A108" s="486" t="s">
        <v>506</v>
      </c>
    </row>
  </sheetData>
  <hyperlinks>
    <hyperlink ref="A73" r:id="rId1" xr:uid="{33B6CAD2-1DD3-4C31-B52D-52559B936F17}"/>
    <hyperlink ref="A79" r:id="rId2" xr:uid="{BE091931-D61A-4D40-B2C6-DA33E8AE3634}"/>
    <hyperlink ref="A83" r:id="rId3" xr:uid="{696809D6-7D2E-412B-88FB-56B27ACD5603}"/>
    <hyperlink ref="A94" r:id="rId4" xr:uid="{19405031-0F7E-4253-9781-8F84ABE7B08F}"/>
    <hyperlink ref="A99" r:id="rId5" xr:uid="{9E74F196-3BCE-4AA7-B312-D710A26D856F}"/>
    <hyperlink ref="A104" r:id="rId6" display="https://www.federalreserve.gov/monetarypolicy/files/fomcprojtabl20241218.pd" xr:uid="{3BE5618C-7302-46BF-BB0E-DC692D771F32}"/>
    <hyperlink ref="A89" r:id="rId7" xr:uid="{768CE837-292B-49AC-91E4-04153E0A21B0}"/>
    <hyperlink ref="A88" r:id="rId8" display="https://www.cbo.gov/system/files/2025-01/60870-Outlook-2025.pdf" xr:uid="{1BC4D6DB-EE02-4901-9A27-A425C6E95913}"/>
    <hyperlink ref="A90" r:id="rId9" xr:uid="{CF916661-1E96-4CE4-BDFE-B70FDB7928A1}"/>
    <hyperlink ref="A87" r:id="rId10" location="4" display="https://www.cbo.gov/data/budget-economic-data - 4" xr:uid="{C5362216-E3CD-4F86-A587-D74E8A4C8C28}"/>
    <hyperlink ref="A67" r:id="rId11" xr:uid="{07D0764A-1F11-4D84-98EA-1692D6032CD3}"/>
    <hyperlink ref="A107" r:id="rId12" xr:uid="{EA227336-BA3B-4BE6-B933-1F52011BBCF0}"/>
    <hyperlink ref="A108" r:id="rId13" xr:uid="{F41862B7-7A35-4C86-8472-37570CDDDB24}"/>
    <hyperlink ref="A74" r:id="rId14" xr:uid="{B69D4C82-5CFB-4B2D-8466-CE805803D612}"/>
  </hyperlinks>
  <pageMargins left="0.25" right="0.25" top="0.75" bottom="0.75" header="0.3" footer="0.3"/>
  <pageSetup scale="27" fitToWidth="0" orientation="portrait" r:id="rId1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02846-3807-4F4D-BD02-A8B0B2C565FB}">
  <sheetPr>
    <tabColor rgb="FF92D050"/>
    <pageSetUpPr fitToPage="1"/>
  </sheetPr>
  <dimension ref="A1:I104"/>
  <sheetViews>
    <sheetView view="pageBreakPreview" topLeftCell="A10" zoomScale="70" zoomScaleNormal="80" zoomScaleSheetLayoutView="70" workbookViewId="0">
      <selection activeCell="D52" sqref="D52"/>
    </sheetView>
  </sheetViews>
  <sheetFormatPr defaultRowHeight="15"/>
  <cols>
    <col min="1" max="1" width="45.7109375" customWidth="1"/>
    <col min="2" max="2" width="17.85546875" customWidth="1"/>
    <col min="3" max="3" width="72.140625" customWidth="1"/>
    <col min="4" max="4" width="34.5703125" customWidth="1"/>
    <col min="5" max="5" width="21.7109375" customWidth="1"/>
    <col min="6" max="6" width="17.140625" customWidth="1"/>
    <col min="7" max="7" width="24.85546875" customWidth="1"/>
    <col min="8" max="8" width="18" customWidth="1"/>
    <col min="9" max="9" width="20.85546875" customWidth="1"/>
    <col min="10" max="10" width="19" customWidth="1"/>
    <col min="11" max="11" width="17.28515625" customWidth="1"/>
    <col min="12" max="12" width="24.140625" customWidth="1"/>
  </cols>
  <sheetData>
    <row r="1" spans="1:9" ht="26.25">
      <c r="A1" s="23" t="s">
        <v>1</v>
      </c>
      <c r="B1" s="12"/>
      <c r="C1" s="12"/>
      <c r="D1" s="12"/>
      <c r="E1" s="12"/>
      <c r="F1" s="12"/>
      <c r="G1" s="12"/>
      <c r="H1" s="12"/>
      <c r="I1" s="12"/>
    </row>
    <row r="2" spans="1:9" ht="17.25">
      <c r="A2" s="60" t="s">
        <v>9</v>
      </c>
      <c r="B2" s="12"/>
      <c r="C2" s="12"/>
      <c r="D2" s="12"/>
      <c r="E2" s="12"/>
      <c r="F2" s="12"/>
      <c r="G2" s="12"/>
      <c r="H2" s="12"/>
      <c r="I2" s="12"/>
    </row>
    <row r="3" spans="1:9" ht="16.5">
      <c r="A3" s="42" t="s">
        <v>475</v>
      </c>
      <c r="B3" s="12"/>
      <c r="C3" s="12"/>
      <c r="D3" s="12"/>
      <c r="E3" s="12"/>
      <c r="F3" s="12"/>
      <c r="G3" s="12"/>
      <c r="H3" s="12"/>
      <c r="I3" s="12"/>
    </row>
    <row r="4" spans="1:9" ht="16.5">
      <c r="A4" s="12"/>
      <c r="B4" s="12"/>
      <c r="C4" s="12"/>
      <c r="D4" s="12"/>
      <c r="E4" s="12"/>
      <c r="F4" s="12"/>
      <c r="G4" s="12"/>
      <c r="H4" s="12"/>
      <c r="I4" s="12"/>
    </row>
    <row r="5" spans="1:9" ht="18" thickBot="1">
      <c r="A5" s="60"/>
      <c r="B5" s="12"/>
      <c r="C5" s="12"/>
      <c r="D5" s="12"/>
      <c r="E5" s="12"/>
      <c r="F5" s="12"/>
      <c r="G5" s="12"/>
      <c r="H5" s="12"/>
      <c r="I5" s="12"/>
    </row>
    <row r="6" spans="1:9" ht="21" thickBot="1">
      <c r="A6" s="246" t="str">
        <f>+'S&amp;D'!A12</f>
        <v>Liquid Transportation Pipeline Carriers</v>
      </c>
      <c r="B6" s="181"/>
      <c r="C6" s="12"/>
      <c r="D6" s="12"/>
      <c r="E6" s="12"/>
      <c r="F6" s="12"/>
      <c r="G6" s="12"/>
      <c r="H6" s="12"/>
      <c r="I6" s="12"/>
    </row>
    <row r="7" spans="1:9" ht="18" thickBot="1">
      <c r="A7" s="60"/>
      <c r="B7" s="12"/>
      <c r="C7" s="28"/>
      <c r="E7" s="12"/>
      <c r="F7" s="12"/>
      <c r="G7" s="12"/>
      <c r="H7" s="12"/>
      <c r="I7" s="12"/>
    </row>
    <row r="8" spans="1:9" ht="26.25">
      <c r="B8" s="12"/>
      <c r="C8" s="30" t="s">
        <v>147</v>
      </c>
      <c r="F8" s="12" t="s">
        <v>0</v>
      </c>
      <c r="G8" s="12"/>
      <c r="H8" s="12"/>
      <c r="I8" s="12"/>
    </row>
    <row r="9" spans="1:9" ht="21" thickBot="1">
      <c r="A9" s="29"/>
      <c r="B9" s="12"/>
      <c r="C9" s="35" t="s">
        <v>487</v>
      </c>
      <c r="F9" s="12"/>
      <c r="G9" s="12"/>
      <c r="H9" s="12"/>
      <c r="I9" s="12"/>
    </row>
    <row r="10" spans="1:9" ht="20.25">
      <c r="A10" s="29"/>
      <c r="B10" s="12"/>
      <c r="C10" s="12"/>
      <c r="D10" s="12"/>
      <c r="E10" s="12" t="s">
        <v>0</v>
      </c>
      <c r="F10" s="12"/>
      <c r="G10" s="12"/>
      <c r="H10" s="12"/>
      <c r="I10" s="12"/>
    </row>
    <row r="11" spans="1:9" ht="17.25" thickBot="1">
      <c r="A11" s="12"/>
      <c r="B11" s="12"/>
      <c r="C11" s="12"/>
      <c r="D11" s="12"/>
      <c r="E11" s="12"/>
      <c r="F11" s="12"/>
      <c r="G11" s="12"/>
      <c r="H11" s="12"/>
      <c r="I11" s="12"/>
    </row>
    <row r="12" spans="1:9" ht="16.5">
      <c r="A12" s="12"/>
      <c r="B12" s="12"/>
      <c r="C12" s="78" t="s">
        <v>0</v>
      </c>
      <c r="D12" s="78" t="s">
        <v>179</v>
      </c>
      <c r="E12" s="12"/>
      <c r="F12" s="12"/>
      <c r="G12" s="12"/>
      <c r="H12" s="12"/>
      <c r="I12" s="12"/>
    </row>
    <row r="13" spans="1:9" ht="21" thickBot="1">
      <c r="A13" s="12"/>
      <c r="B13" s="12"/>
      <c r="C13" s="350" t="s">
        <v>146</v>
      </c>
      <c r="D13" s="80" t="s">
        <v>252</v>
      </c>
      <c r="E13" s="12"/>
      <c r="F13" s="12"/>
      <c r="G13" s="12"/>
      <c r="H13" s="12"/>
      <c r="I13" s="12"/>
    </row>
    <row r="14" spans="1:9" ht="17.25">
      <c r="A14" s="12"/>
      <c r="B14" s="12"/>
      <c r="C14" s="367" t="s">
        <v>390</v>
      </c>
      <c r="D14" s="368">
        <f>+CAPM!F14</f>
        <v>7.7499999999999999E-2</v>
      </c>
      <c r="E14" s="357"/>
      <c r="F14" s="12"/>
      <c r="G14" s="12"/>
      <c r="H14" s="12"/>
      <c r="I14" s="12"/>
    </row>
    <row r="15" spans="1:9" ht="17.25">
      <c r="A15" s="12"/>
      <c r="B15" s="12"/>
      <c r="C15" s="257" t="s">
        <v>391</v>
      </c>
      <c r="D15" s="369">
        <f>+CAPM!F15</f>
        <v>7.7899999999999997E-2</v>
      </c>
      <c r="E15" s="357"/>
      <c r="F15" s="12"/>
      <c r="G15" s="12"/>
      <c r="H15" s="12"/>
      <c r="I15" s="12"/>
    </row>
    <row r="16" spans="1:9" ht="17.25">
      <c r="A16" s="12"/>
      <c r="B16" s="12"/>
      <c r="C16" s="257" t="s">
        <v>404</v>
      </c>
      <c r="D16" s="369">
        <f>+CAPM!F17</f>
        <v>9.0399999999999994E-2</v>
      </c>
      <c r="E16" s="357"/>
      <c r="F16" s="12"/>
      <c r="G16" s="12"/>
      <c r="H16" s="12"/>
      <c r="I16" s="12"/>
    </row>
    <row r="17" spans="1:9" ht="17.25">
      <c r="A17" s="12"/>
      <c r="B17" s="12"/>
      <c r="C17" s="257" t="s">
        <v>418</v>
      </c>
      <c r="D17" s="369">
        <f>+CAPM!F18</f>
        <v>0.1099</v>
      </c>
      <c r="E17" s="357"/>
      <c r="F17" s="12"/>
      <c r="G17" s="12"/>
      <c r="H17" s="12"/>
      <c r="I17" s="12"/>
    </row>
    <row r="18" spans="1:9" ht="17.25">
      <c r="A18" s="12"/>
      <c r="B18" s="12"/>
      <c r="C18" s="257" t="s">
        <v>405</v>
      </c>
      <c r="D18" s="369">
        <f>+CAPM!F19</f>
        <v>8.77E-2</v>
      </c>
      <c r="E18" s="357"/>
      <c r="F18" s="12"/>
      <c r="G18" s="12"/>
      <c r="H18" s="12"/>
      <c r="I18" s="12"/>
    </row>
    <row r="19" spans="1:9" ht="17.25">
      <c r="A19" s="12"/>
      <c r="B19" s="12"/>
      <c r="C19" s="257" t="s">
        <v>406</v>
      </c>
      <c r="D19" s="369">
        <f>+CAPM!F20</f>
        <v>8.43E-2</v>
      </c>
      <c r="E19" s="357"/>
      <c r="F19" s="12"/>
      <c r="G19" s="12"/>
      <c r="H19" s="12"/>
      <c r="I19" s="12"/>
    </row>
    <row r="20" spans="1:9" ht="17.25">
      <c r="A20" s="12"/>
      <c r="B20" s="12"/>
      <c r="C20" s="257" t="s">
        <v>148</v>
      </c>
      <c r="D20" s="369">
        <f>+CAPM!F22</f>
        <v>0.10419999999999999</v>
      </c>
      <c r="E20" s="357"/>
      <c r="F20" s="12"/>
      <c r="G20" s="12"/>
      <c r="H20" s="12"/>
      <c r="I20" s="12"/>
    </row>
    <row r="21" spans="1:9" ht="17.25">
      <c r="A21" s="12"/>
      <c r="B21" s="12"/>
      <c r="C21" s="257" t="s">
        <v>149</v>
      </c>
      <c r="D21" s="369">
        <f>+CAPM!F24</f>
        <v>0.1031</v>
      </c>
      <c r="E21" s="357"/>
      <c r="F21" s="12"/>
      <c r="G21" s="12"/>
      <c r="H21" s="12"/>
      <c r="I21" s="12"/>
    </row>
    <row r="22" spans="1:9" ht="17.25">
      <c r="A22" s="12"/>
      <c r="B22" s="12"/>
      <c r="C22" s="257" t="s">
        <v>150</v>
      </c>
      <c r="D22" s="369">
        <f>+CAPM!F26</f>
        <v>0.1159</v>
      </c>
      <c r="E22" s="380"/>
      <c r="G22" s="12"/>
      <c r="H22" s="12"/>
      <c r="I22" s="12"/>
    </row>
    <row r="23" spans="1:9" ht="17.25">
      <c r="A23" s="12"/>
      <c r="B23" s="12"/>
      <c r="C23" s="257" t="s">
        <v>151</v>
      </c>
      <c r="D23" s="369">
        <f>+CAPM!F27</f>
        <v>0.10349999999999999</v>
      </c>
      <c r="E23" s="380"/>
      <c r="G23" s="12"/>
      <c r="H23" s="12"/>
      <c r="I23" s="12"/>
    </row>
    <row r="24" spans="1:9" ht="17.25">
      <c r="A24" s="12"/>
      <c r="B24" s="12"/>
      <c r="C24" s="258" t="s">
        <v>407</v>
      </c>
      <c r="D24" s="369">
        <f>+CAPM!F29</f>
        <v>0.12179999999999999</v>
      </c>
      <c r="E24" s="380"/>
      <c r="G24" s="12"/>
      <c r="H24" s="12"/>
      <c r="I24" s="12"/>
    </row>
    <row r="25" spans="1:9" ht="17.25">
      <c r="A25" s="12"/>
      <c r="B25" s="12"/>
      <c r="C25" s="258" t="s">
        <v>408</v>
      </c>
      <c r="D25" s="369">
        <f>+CAPM!F30</f>
        <v>0.11119999999999999</v>
      </c>
      <c r="E25" s="370"/>
      <c r="F25" s="12"/>
      <c r="G25" s="12"/>
      <c r="H25" s="12"/>
      <c r="I25" s="12"/>
    </row>
    <row r="26" spans="1:9" ht="17.25">
      <c r="A26" s="12"/>
      <c r="B26" s="12"/>
      <c r="C26" s="258" t="s">
        <v>409</v>
      </c>
      <c r="D26" s="369">
        <f>+CAPM!F31</f>
        <v>9.8099999999999993E-2</v>
      </c>
      <c r="E26" s="370"/>
      <c r="F26" s="12"/>
      <c r="G26" s="12"/>
      <c r="H26" s="12"/>
      <c r="I26" s="12"/>
    </row>
    <row r="27" spans="1:9" ht="17.25">
      <c r="A27" s="12"/>
      <c r="B27" s="12"/>
      <c r="C27" s="257" t="s">
        <v>388</v>
      </c>
      <c r="D27" s="369">
        <f>+CAPM!G40</f>
        <v>7.7499999999999999E-2</v>
      </c>
      <c r="E27" s="357"/>
      <c r="F27" s="12"/>
      <c r="G27" s="12"/>
      <c r="H27" s="12"/>
      <c r="I27" s="12"/>
    </row>
    <row r="28" spans="1:9" ht="17.25">
      <c r="A28" s="12"/>
      <c r="B28" s="12"/>
      <c r="C28" s="257" t="s">
        <v>389</v>
      </c>
      <c r="D28" s="369">
        <f>+CAPM!G41</f>
        <v>7.7899999999999997E-2</v>
      </c>
      <c r="E28" s="357"/>
      <c r="F28" s="12"/>
      <c r="G28" s="12"/>
      <c r="H28" s="12"/>
      <c r="I28" s="12"/>
    </row>
    <row r="29" spans="1:9" ht="17.25">
      <c r="A29" s="12"/>
      <c r="B29" s="12"/>
      <c r="C29" s="257" t="s">
        <v>410</v>
      </c>
      <c r="D29" s="369">
        <f>+CAPM!G43</f>
        <v>9.0399999999999994E-2</v>
      </c>
      <c r="E29" s="357"/>
      <c r="F29" s="12"/>
      <c r="G29" s="12"/>
      <c r="H29" s="12"/>
      <c r="I29" s="12"/>
    </row>
    <row r="30" spans="1:9" ht="17.25">
      <c r="A30" s="12"/>
      <c r="B30" s="12"/>
      <c r="C30" s="257" t="s">
        <v>419</v>
      </c>
      <c r="D30" s="369">
        <f>+CAPM!G44</f>
        <v>0.1099</v>
      </c>
      <c r="E30" s="357"/>
      <c r="F30" s="12"/>
      <c r="G30" s="12"/>
      <c r="H30" s="12"/>
      <c r="I30" s="12"/>
    </row>
    <row r="31" spans="1:9" ht="17.25">
      <c r="A31" s="12"/>
      <c r="B31" s="12"/>
      <c r="C31" s="257" t="s">
        <v>411</v>
      </c>
      <c r="D31" s="369">
        <f>+CAPM!G45</f>
        <v>8.77E-2</v>
      </c>
      <c r="E31" s="357"/>
      <c r="F31" s="12"/>
      <c r="G31" s="12"/>
      <c r="H31" s="12"/>
      <c r="I31" s="12"/>
    </row>
    <row r="32" spans="1:9" ht="17.25">
      <c r="A32" s="12"/>
      <c r="B32" s="12"/>
      <c r="C32" s="257" t="s">
        <v>412</v>
      </c>
      <c r="D32" s="369">
        <f>+CAPM!G46</f>
        <v>8.43E-2</v>
      </c>
      <c r="E32" s="357"/>
      <c r="F32" s="12"/>
      <c r="G32" s="12"/>
      <c r="H32" s="12"/>
      <c r="I32" s="12"/>
    </row>
    <row r="33" spans="1:9" ht="17.25">
      <c r="A33" s="12"/>
      <c r="B33" s="12"/>
      <c r="C33" s="257" t="s">
        <v>152</v>
      </c>
      <c r="D33" s="369">
        <f>+CAPM!G48</f>
        <v>0.10419999999999999</v>
      </c>
      <c r="E33" s="357"/>
      <c r="F33" s="12"/>
      <c r="G33" s="12"/>
      <c r="H33" s="12"/>
      <c r="I33" s="12"/>
    </row>
    <row r="34" spans="1:9" ht="17.25">
      <c r="A34" s="12"/>
      <c r="B34" s="12"/>
      <c r="C34" s="257" t="s">
        <v>153</v>
      </c>
      <c r="D34" s="369">
        <f>+CAPM!G50</f>
        <v>0.1031</v>
      </c>
      <c r="E34" s="357"/>
      <c r="F34" s="12"/>
      <c r="G34" s="12"/>
      <c r="H34" s="12"/>
      <c r="I34" s="12"/>
    </row>
    <row r="35" spans="1:9" ht="17.25">
      <c r="A35" s="12"/>
      <c r="B35" s="12"/>
      <c r="C35" s="258" t="s">
        <v>154</v>
      </c>
      <c r="D35" s="369">
        <f>+CAPM!G52</f>
        <v>0.1159</v>
      </c>
      <c r="E35" s="357"/>
      <c r="F35" s="12"/>
      <c r="G35" s="12"/>
      <c r="H35" s="12"/>
      <c r="I35" s="12"/>
    </row>
    <row r="36" spans="1:9" ht="17.25">
      <c r="A36" s="12"/>
      <c r="B36" s="12"/>
      <c r="C36" s="257" t="s">
        <v>155</v>
      </c>
      <c r="D36" s="376">
        <f>+CAPM!G53</f>
        <v>0.10349999999999999</v>
      </c>
      <c r="E36" s="357"/>
      <c r="F36" s="12"/>
      <c r="G36" s="12"/>
      <c r="H36" s="12"/>
      <c r="I36" s="12"/>
    </row>
    <row r="37" spans="1:9" ht="16.5" customHeight="1">
      <c r="A37" s="12"/>
      <c r="B37" s="12"/>
      <c r="C37" s="258" t="s">
        <v>413</v>
      </c>
      <c r="D37" s="376">
        <f>+CAPM!G55</f>
        <v>0.12179999999999999</v>
      </c>
      <c r="E37" s="357" t="s">
        <v>0</v>
      </c>
      <c r="F37" s="12"/>
      <c r="G37" s="12"/>
      <c r="H37" s="12"/>
      <c r="I37" s="12"/>
    </row>
    <row r="38" spans="1:9" ht="16.5" customHeight="1">
      <c r="A38" s="12"/>
      <c r="B38" s="12"/>
      <c r="C38" s="258" t="s">
        <v>414</v>
      </c>
      <c r="D38" s="376">
        <f>+CAPM!G56</f>
        <v>0.11119999999999999</v>
      </c>
      <c r="E38" s="357"/>
      <c r="F38" s="12"/>
      <c r="G38" s="12"/>
      <c r="H38" s="12"/>
      <c r="I38" s="12"/>
    </row>
    <row r="39" spans="1:9" ht="18.75" customHeight="1">
      <c r="A39" s="12"/>
      <c r="B39" s="12"/>
      <c r="C39" s="258" t="s">
        <v>415</v>
      </c>
      <c r="D39" s="376">
        <f>+CAPM!G57</f>
        <v>9.8099999999999993E-2</v>
      </c>
      <c r="E39" s="371"/>
      <c r="F39" s="12"/>
      <c r="G39" s="12"/>
      <c r="H39" s="12"/>
      <c r="I39" s="12"/>
    </row>
    <row r="40" spans="1:9" ht="21.75" customHeight="1">
      <c r="A40" s="12"/>
      <c r="B40" s="12"/>
      <c r="C40" s="377" t="s">
        <v>223</v>
      </c>
      <c r="D40" s="198">
        <f>+'Single Stage Div Growth Model'!I29</f>
        <v>0.17299999999999999</v>
      </c>
      <c r="G40" s="12"/>
      <c r="H40" s="12"/>
      <c r="I40" s="12"/>
    </row>
    <row r="41" spans="1:9" ht="21.75" customHeight="1">
      <c r="A41" s="12"/>
      <c r="B41" s="12"/>
      <c r="C41" s="259" t="s">
        <v>222</v>
      </c>
      <c r="D41" s="198">
        <f>+'Single Stage Div Growth Model'!I31</f>
        <v>0.17469999999999999</v>
      </c>
      <c r="G41" s="12"/>
      <c r="H41" s="12"/>
      <c r="I41" s="12"/>
    </row>
    <row r="42" spans="1:9" ht="21.75" customHeight="1">
      <c r="A42" s="12"/>
      <c r="B42" s="12"/>
      <c r="C42" s="372" t="s">
        <v>224</v>
      </c>
      <c r="D42" s="373">
        <f>+'Two-Stage Div Growth Model'!H33</f>
        <v>0.16339999999999999</v>
      </c>
      <c r="G42" s="81" t="s">
        <v>0</v>
      </c>
      <c r="H42" s="12"/>
      <c r="I42" s="12"/>
    </row>
    <row r="43" spans="1:9" ht="21.75" customHeight="1">
      <c r="A43" s="12"/>
      <c r="B43" s="12"/>
      <c r="C43" s="348" t="s">
        <v>328</v>
      </c>
      <c r="D43" s="349">
        <f>+'Direct NOPAT'!G57</f>
        <v>0.12670000000000001</v>
      </c>
      <c r="G43" s="12"/>
      <c r="H43" s="12"/>
      <c r="I43" s="12"/>
    </row>
    <row r="44" spans="1:9" ht="17.25" thickBot="1">
      <c r="A44" s="12"/>
      <c r="B44" s="12"/>
      <c r="C44" s="12"/>
      <c r="D44" s="68"/>
      <c r="E44" s="12"/>
      <c r="F44" s="12"/>
      <c r="G44" s="12"/>
      <c r="H44" s="12"/>
      <c r="I44" s="12"/>
    </row>
    <row r="45" spans="1:9" ht="17.25" thickTop="1">
      <c r="A45" s="12"/>
      <c r="B45" s="12"/>
      <c r="C45" s="14" t="s">
        <v>45</v>
      </c>
      <c r="D45" s="50">
        <f>MAX(D14:D42)</f>
        <v>0.17469999999999999</v>
      </c>
      <c r="E45" s="145"/>
      <c r="F45" s="12"/>
      <c r="G45" s="12"/>
      <c r="H45" s="12"/>
      <c r="I45" s="12"/>
    </row>
    <row r="46" spans="1:9" ht="16.5">
      <c r="A46" s="12"/>
      <c r="B46" s="12"/>
      <c r="C46" s="14" t="s">
        <v>46</v>
      </c>
      <c r="D46" s="330">
        <f>MIN(D14:D42)</f>
        <v>7.7499999999999999E-2</v>
      </c>
      <c r="E46" s="12"/>
      <c r="F46" s="12"/>
      <c r="G46" s="50"/>
      <c r="H46" s="50"/>
      <c r="I46" s="50"/>
    </row>
    <row r="47" spans="1:9" ht="16.5">
      <c r="A47" s="12"/>
      <c r="B47" s="12"/>
      <c r="C47" s="14" t="s">
        <v>18</v>
      </c>
      <c r="D47" s="81">
        <f>MEDIAN(D14:D42)</f>
        <v>0.10349999999999999</v>
      </c>
      <c r="E47" s="81"/>
      <c r="F47" s="81"/>
      <c r="G47" s="81"/>
      <c r="H47" s="81"/>
      <c r="I47" s="81"/>
    </row>
    <row r="48" spans="1:9" ht="16.5">
      <c r="A48" s="12"/>
      <c r="B48" s="12"/>
      <c r="C48" s="14" t="s">
        <v>392</v>
      </c>
      <c r="D48" s="82">
        <f>AVERAGE(D14:D42)</f>
        <v>0.1062793103448276</v>
      </c>
      <c r="E48" s="82"/>
      <c r="F48" s="82"/>
      <c r="G48" s="82"/>
      <c r="H48" s="82"/>
      <c r="I48" s="82"/>
    </row>
    <row r="49" spans="1:9" ht="16.5">
      <c r="A49" s="12"/>
      <c r="B49" s="12"/>
      <c r="C49" s="14"/>
      <c r="D49" s="82"/>
      <c r="E49" s="12"/>
      <c r="F49" s="12"/>
      <c r="G49" s="12"/>
      <c r="H49" s="12"/>
      <c r="I49" s="12"/>
    </row>
    <row r="50" spans="1:9" ht="17.25" thickBot="1">
      <c r="A50" s="12"/>
      <c r="B50" s="12"/>
      <c r="C50" s="12"/>
      <c r="D50" s="12"/>
      <c r="E50" s="12"/>
      <c r="F50" s="12"/>
      <c r="G50" s="12"/>
      <c r="H50" s="12"/>
      <c r="I50" s="12"/>
    </row>
    <row r="51" spans="1:9" ht="27" thickBot="1">
      <c r="A51" s="12"/>
      <c r="B51" s="12"/>
      <c r="C51" s="188" t="s">
        <v>232</v>
      </c>
      <c r="D51" s="379">
        <v>0.10630000000000001</v>
      </c>
      <c r="E51" s="83"/>
      <c r="F51" s="83"/>
    </row>
    <row r="52" spans="1:9" ht="17.25">
      <c r="A52" s="106" t="s">
        <v>0</v>
      </c>
      <c r="B52" s="12"/>
      <c r="C52" s="12"/>
      <c r="D52" s="12"/>
      <c r="E52" s="12"/>
      <c r="F52" s="12"/>
      <c r="G52" s="12"/>
      <c r="H52" s="12"/>
      <c r="I52" s="12"/>
    </row>
    <row r="53" spans="1:9" ht="17.25">
      <c r="A53" s="106" t="s">
        <v>0</v>
      </c>
      <c r="B53" s="12"/>
      <c r="C53" s="12"/>
      <c r="D53" s="12"/>
      <c r="E53" s="12"/>
      <c r="F53" s="12"/>
      <c r="G53" s="12"/>
      <c r="H53" s="12"/>
      <c r="I53" s="12"/>
    </row>
    <row r="54" spans="1:9" ht="16.5">
      <c r="A54" s="12"/>
      <c r="B54" s="12"/>
      <c r="C54" s="12"/>
      <c r="D54" s="12"/>
      <c r="E54" s="12"/>
      <c r="F54" s="12"/>
      <c r="G54" s="12"/>
      <c r="H54" s="12"/>
      <c r="I54" s="12"/>
    </row>
    <row r="55" spans="1:9" ht="16.5">
      <c r="A55" s="12"/>
      <c r="B55" s="12"/>
      <c r="C55" s="12"/>
      <c r="D55" s="12"/>
      <c r="E55" s="12"/>
      <c r="F55" s="12"/>
      <c r="G55" s="12"/>
      <c r="H55" s="12"/>
      <c r="I55" s="12"/>
    </row>
    <row r="56" spans="1:9" ht="16.5">
      <c r="A56" s="12"/>
      <c r="B56" s="12"/>
      <c r="C56" s="12"/>
      <c r="D56" s="12"/>
      <c r="E56" s="12"/>
      <c r="F56" s="12"/>
      <c r="G56" s="12"/>
      <c r="H56" s="12"/>
      <c r="I56" s="12"/>
    </row>
    <row r="57" spans="1:9" ht="16.5">
      <c r="A57" s="12"/>
      <c r="B57" s="12"/>
      <c r="C57" s="12"/>
      <c r="D57" s="12"/>
      <c r="E57" s="12"/>
      <c r="F57" s="12"/>
      <c r="G57" s="12"/>
      <c r="H57" s="12"/>
      <c r="I57" s="12"/>
    </row>
    <row r="58" spans="1:9" ht="16.5">
      <c r="A58" s="12"/>
      <c r="B58" s="12"/>
      <c r="C58" s="12"/>
      <c r="D58" s="12" t="s">
        <v>0</v>
      </c>
      <c r="E58" s="12"/>
      <c r="F58" s="12"/>
      <c r="G58" s="12"/>
      <c r="H58" s="12"/>
      <c r="I58" s="12"/>
    </row>
    <row r="59" spans="1:9" ht="16.5">
      <c r="A59" s="12"/>
      <c r="B59" s="12"/>
      <c r="C59" s="12"/>
      <c r="D59" s="12" t="s">
        <v>0</v>
      </c>
      <c r="E59" s="12"/>
      <c r="F59" s="12"/>
      <c r="G59" s="12"/>
      <c r="H59" s="12"/>
      <c r="I59" s="12"/>
    </row>
    <row r="60" spans="1:9" ht="16.5">
      <c r="A60" s="12"/>
      <c r="B60" s="12"/>
      <c r="C60" s="12"/>
      <c r="D60" s="12"/>
      <c r="E60" s="12"/>
      <c r="F60" s="12"/>
      <c r="G60" s="12"/>
      <c r="H60" s="12"/>
      <c r="I60" s="12"/>
    </row>
    <row r="61" spans="1:9" ht="16.5">
      <c r="A61" s="12"/>
      <c r="B61" s="12"/>
      <c r="C61" s="12"/>
      <c r="D61" s="12"/>
      <c r="E61" s="12"/>
      <c r="F61" s="12"/>
      <c r="G61" s="12"/>
      <c r="H61" s="12"/>
      <c r="I61" s="12"/>
    </row>
    <row r="62" spans="1:9" ht="16.5">
      <c r="A62" s="12"/>
      <c r="B62" s="12"/>
      <c r="C62" s="12"/>
      <c r="D62" s="12"/>
      <c r="E62" s="12"/>
      <c r="F62" s="12"/>
      <c r="G62" s="12"/>
      <c r="H62" s="12"/>
      <c r="I62" s="12"/>
    </row>
    <row r="63" spans="1:9" ht="16.5">
      <c r="A63" s="12"/>
      <c r="B63" s="12"/>
      <c r="C63" s="12"/>
      <c r="D63" s="12"/>
      <c r="E63" s="12"/>
      <c r="F63" s="12"/>
      <c r="G63" s="12"/>
      <c r="H63" s="12"/>
      <c r="I63" s="12"/>
    </row>
    <row r="64" spans="1:9" ht="16.5">
      <c r="A64" s="12"/>
      <c r="B64" s="12"/>
      <c r="C64" s="12"/>
      <c r="D64" s="12"/>
      <c r="E64" s="12"/>
      <c r="F64" s="12"/>
      <c r="G64" s="12"/>
      <c r="H64" s="12"/>
      <c r="I64" s="12"/>
    </row>
    <row r="65" spans="1:9" ht="16.5">
      <c r="A65" s="12"/>
      <c r="B65" s="12"/>
      <c r="C65" s="12"/>
      <c r="D65" s="12"/>
      <c r="E65" s="12"/>
      <c r="F65" s="12"/>
      <c r="G65" s="12"/>
      <c r="H65" s="12"/>
      <c r="I65" s="12"/>
    </row>
    <row r="66" spans="1:9" ht="16.5">
      <c r="A66" s="12"/>
      <c r="B66" s="12"/>
      <c r="C66" s="12"/>
      <c r="D66" s="12"/>
      <c r="E66" s="12"/>
      <c r="F66" s="12"/>
      <c r="G66" s="12"/>
      <c r="H66" s="12"/>
      <c r="I66" s="12"/>
    </row>
    <row r="67" spans="1:9" ht="16.5">
      <c r="A67" s="12"/>
      <c r="B67" s="12"/>
      <c r="C67" s="12"/>
      <c r="D67" s="12"/>
      <c r="E67" s="12"/>
      <c r="F67" s="12"/>
      <c r="G67" s="12"/>
      <c r="H67" s="12"/>
      <c r="I67" s="12"/>
    </row>
    <row r="68" spans="1:9" ht="16.5">
      <c r="A68" s="12"/>
      <c r="B68" s="12"/>
      <c r="C68" s="12"/>
      <c r="D68" s="12"/>
      <c r="E68" s="12"/>
      <c r="F68" s="12"/>
      <c r="G68" s="12"/>
      <c r="H68" s="12"/>
      <c r="I68" s="12"/>
    </row>
    <row r="69" spans="1:9" ht="16.5">
      <c r="A69" s="12"/>
      <c r="B69" s="12"/>
      <c r="C69" s="12"/>
      <c r="D69" s="12"/>
      <c r="E69" s="12"/>
      <c r="F69" s="12"/>
      <c r="G69" s="12"/>
      <c r="H69" s="12"/>
      <c r="I69" s="12"/>
    </row>
    <row r="70" spans="1:9" ht="16.5">
      <c r="A70" s="12"/>
      <c r="B70" s="12"/>
      <c r="C70" s="12"/>
      <c r="D70" s="12"/>
      <c r="E70" s="12"/>
      <c r="F70" s="12"/>
      <c r="G70" s="12"/>
      <c r="H70" s="12"/>
      <c r="I70" s="12"/>
    </row>
    <row r="71" spans="1:9" ht="16.5">
      <c r="A71" s="12"/>
      <c r="B71" s="12"/>
      <c r="C71" s="12"/>
      <c r="D71" s="12"/>
      <c r="E71" s="12"/>
      <c r="F71" s="12"/>
      <c r="G71" s="12"/>
      <c r="H71" s="12"/>
      <c r="I71" s="12"/>
    </row>
    <row r="72" spans="1:9" ht="16.5">
      <c r="A72" s="12"/>
      <c r="B72" s="12"/>
      <c r="C72" s="12"/>
      <c r="D72" s="12"/>
      <c r="E72" s="12"/>
      <c r="F72" s="12"/>
      <c r="G72" s="12"/>
      <c r="H72" s="12"/>
      <c r="I72" s="12"/>
    </row>
    <row r="73" spans="1:9" ht="16.5">
      <c r="A73" s="12"/>
      <c r="B73" s="12"/>
      <c r="C73" s="12"/>
      <c r="D73" s="12"/>
      <c r="E73" s="12"/>
      <c r="F73" s="12"/>
      <c r="G73" s="12"/>
      <c r="H73" s="12"/>
      <c r="I73" s="12"/>
    </row>
    <row r="74" spans="1:9" ht="16.5">
      <c r="A74" s="12"/>
      <c r="B74" s="12"/>
      <c r="C74" s="12"/>
      <c r="D74" s="12"/>
      <c r="E74" s="12"/>
      <c r="F74" s="12"/>
      <c r="G74" s="12"/>
      <c r="H74" s="12"/>
      <c r="I74" s="12"/>
    </row>
    <row r="75" spans="1:9" ht="16.5">
      <c r="A75" s="12"/>
      <c r="B75" s="12"/>
      <c r="C75" s="12"/>
      <c r="D75" s="12"/>
      <c r="E75" s="12"/>
      <c r="F75" s="12"/>
      <c r="G75" s="12"/>
      <c r="H75" s="12"/>
      <c r="I75" s="12"/>
    </row>
    <row r="76" spans="1:9" ht="16.5">
      <c r="A76" s="12"/>
      <c r="B76" s="12"/>
      <c r="C76" s="12"/>
      <c r="D76" s="12"/>
      <c r="E76" s="12"/>
      <c r="F76" s="12"/>
      <c r="G76" s="12"/>
      <c r="H76" s="12"/>
      <c r="I76" s="12"/>
    </row>
    <row r="77" spans="1:9" ht="16.5">
      <c r="A77" s="12"/>
      <c r="B77" s="12"/>
      <c r="C77" s="12"/>
      <c r="D77" s="12"/>
      <c r="E77" s="12"/>
      <c r="F77" s="12"/>
      <c r="G77" s="12"/>
      <c r="H77" s="12"/>
      <c r="I77" s="12"/>
    </row>
    <row r="78" spans="1:9" ht="16.5">
      <c r="A78" s="12"/>
      <c r="B78" s="12"/>
      <c r="C78" s="12"/>
      <c r="D78" s="12"/>
      <c r="E78" s="12"/>
      <c r="F78" s="12"/>
      <c r="G78" s="12"/>
      <c r="H78" s="12"/>
      <c r="I78" s="12"/>
    </row>
    <row r="79" spans="1:9" ht="16.5">
      <c r="A79" s="12"/>
      <c r="B79" s="12"/>
      <c r="C79" s="12"/>
      <c r="D79" s="12"/>
      <c r="E79" s="12"/>
      <c r="F79" s="12"/>
      <c r="G79" s="12"/>
      <c r="H79" s="12"/>
      <c r="I79" s="12"/>
    </row>
    <row r="80" spans="1:9" ht="16.5">
      <c r="A80" s="12"/>
      <c r="B80" s="12"/>
      <c r="C80" s="12"/>
      <c r="D80" s="12"/>
      <c r="E80" s="12"/>
      <c r="F80" s="12"/>
      <c r="G80" s="12"/>
      <c r="H80" s="12"/>
      <c r="I80" s="12"/>
    </row>
    <row r="81" spans="1:9" ht="16.5">
      <c r="A81" s="12"/>
      <c r="B81" s="12"/>
      <c r="C81" s="12"/>
      <c r="D81" s="12"/>
      <c r="E81" s="12"/>
      <c r="F81" s="12"/>
      <c r="G81" s="12"/>
      <c r="H81" s="12"/>
      <c r="I81" s="12"/>
    </row>
    <row r="82" spans="1:9" ht="16.5">
      <c r="A82" s="12"/>
      <c r="B82" s="12"/>
      <c r="C82" s="12"/>
      <c r="D82" s="12"/>
      <c r="E82" s="12"/>
      <c r="F82" s="12"/>
      <c r="G82" s="12"/>
      <c r="H82" s="12"/>
      <c r="I82" s="12"/>
    </row>
    <row r="83" spans="1:9" ht="16.5">
      <c r="A83" s="12"/>
      <c r="B83" s="12"/>
      <c r="C83" s="12"/>
      <c r="D83" s="12"/>
      <c r="E83" s="12"/>
      <c r="F83" s="12"/>
      <c r="G83" s="12"/>
      <c r="H83" s="12"/>
      <c r="I83" s="12"/>
    </row>
    <row r="84" spans="1:9" ht="16.5">
      <c r="A84" s="12"/>
      <c r="B84" s="12"/>
      <c r="C84" s="12"/>
      <c r="D84" s="12"/>
      <c r="E84" s="12"/>
      <c r="F84" s="12"/>
      <c r="G84" s="12"/>
      <c r="H84" s="12"/>
      <c r="I84" s="12"/>
    </row>
    <row r="85" spans="1:9" ht="16.5">
      <c r="A85" s="12"/>
      <c r="B85" s="12"/>
      <c r="C85" s="12"/>
      <c r="D85" s="12"/>
      <c r="E85" s="12"/>
      <c r="F85" s="12"/>
      <c r="G85" s="12"/>
      <c r="H85" s="12"/>
      <c r="I85" s="12"/>
    </row>
    <row r="86" spans="1:9" ht="16.5">
      <c r="A86" s="12"/>
      <c r="B86" s="12"/>
      <c r="C86" s="12"/>
      <c r="D86" s="12"/>
      <c r="E86" s="12"/>
      <c r="F86" s="12"/>
      <c r="G86" s="12"/>
      <c r="H86" s="12"/>
      <c r="I86" s="12"/>
    </row>
    <row r="87" spans="1:9" ht="16.5">
      <c r="A87" s="12"/>
      <c r="B87" s="12"/>
      <c r="C87" s="12"/>
      <c r="D87" s="12"/>
      <c r="E87" s="12"/>
      <c r="F87" s="12"/>
      <c r="G87" s="12"/>
      <c r="H87" s="12"/>
      <c r="I87" s="12"/>
    </row>
    <row r="88" spans="1:9" ht="16.5">
      <c r="A88" s="12"/>
      <c r="B88" s="12"/>
      <c r="C88" s="12"/>
      <c r="D88" s="12"/>
      <c r="E88" s="12"/>
      <c r="F88" s="12"/>
      <c r="G88" s="12"/>
      <c r="H88" s="12"/>
      <c r="I88" s="12"/>
    </row>
    <row r="89" spans="1:9" ht="16.5">
      <c r="A89" s="12"/>
      <c r="B89" s="12"/>
      <c r="C89" s="12"/>
      <c r="D89" s="12"/>
      <c r="E89" s="12"/>
      <c r="F89" s="12"/>
      <c r="G89" s="12"/>
      <c r="H89" s="12"/>
      <c r="I89" s="12"/>
    </row>
    <row r="90" spans="1:9" ht="16.5">
      <c r="A90" s="12"/>
      <c r="B90" s="12"/>
      <c r="C90" s="12"/>
      <c r="D90" s="12"/>
      <c r="E90" s="12"/>
      <c r="F90" s="12"/>
      <c r="G90" s="12"/>
      <c r="H90" s="12"/>
      <c r="I90" s="12"/>
    </row>
    <row r="91" spans="1:9" ht="16.5">
      <c r="A91" s="12"/>
      <c r="B91" s="12"/>
      <c r="C91" s="12"/>
      <c r="D91" s="12"/>
      <c r="E91" s="12"/>
      <c r="F91" s="12"/>
      <c r="G91" s="12"/>
      <c r="H91" s="12"/>
      <c r="I91" s="12"/>
    </row>
    <row r="92" spans="1:9" ht="16.5">
      <c r="A92" s="12"/>
      <c r="B92" s="12"/>
      <c r="C92" s="12"/>
      <c r="D92" s="12"/>
      <c r="E92" s="12"/>
      <c r="F92" s="12"/>
      <c r="G92" s="12"/>
      <c r="H92" s="12"/>
      <c r="I92" s="12"/>
    </row>
    <row r="93" spans="1:9" ht="16.5">
      <c r="A93" s="12"/>
      <c r="B93" s="12"/>
      <c r="C93" s="12"/>
      <c r="D93" s="12"/>
      <c r="E93" s="12"/>
      <c r="F93" s="12"/>
      <c r="G93" s="12"/>
      <c r="H93" s="12"/>
      <c r="I93" s="12"/>
    </row>
    <row r="94" spans="1:9" ht="16.5">
      <c r="A94" s="12"/>
      <c r="B94" s="12"/>
      <c r="C94" s="12"/>
      <c r="D94" s="12"/>
      <c r="E94" s="12"/>
      <c r="F94" s="12"/>
      <c r="G94" s="12"/>
      <c r="H94" s="12"/>
      <c r="I94" s="12"/>
    </row>
    <row r="95" spans="1:9" ht="16.5">
      <c r="A95" s="12"/>
      <c r="B95" s="12"/>
      <c r="C95" s="12"/>
      <c r="D95" s="12"/>
      <c r="E95" s="12"/>
      <c r="F95" s="12"/>
      <c r="G95" s="12"/>
      <c r="H95" s="12"/>
      <c r="I95" s="12"/>
    </row>
    <row r="96" spans="1:9" ht="16.5">
      <c r="A96" s="12"/>
      <c r="B96" s="12"/>
      <c r="C96" s="12"/>
      <c r="D96" s="12"/>
      <c r="E96" s="12"/>
      <c r="F96" s="12"/>
      <c r="G96" s="12"/>
      <c r="H96" s="12"/>
      <c r="I96" s="12"/>
    </row>
    <row r="97" spans="1:9" ht="16.5">
      <c r="A97" s="12"/>
      <c r="B97" s="12"/>
      <c r="C97" s="12"/>
      <c r="D97" s="12"/>
      <c r="E97" s="12"/>
      <c r="F97" s="12"/>
      <c r="G97" s="12"/>
      <c r="H97" s="12"/>
      <c r="I97" s="12"/>
    </row>
    <row r="98" spans="1:9" ht="16.5">
      <c r="A98" s="12"/>
      <c r="B98" s="12"/>
      <c r="C98" s="12"/>
      <c r="D98" s="12"/>
      <c r="E98" s="12"/>
      <c r="F98" s="12"/>
      <c r="G98" s="12"/>
      <c r="H98" s="12"/>
      <c r="I98" s="12"/>
    </row>
    <row r="99" spans="1:9" ht="16.5">
      <c r="A99" s="12"/>
      <c r="B99" s="12"/>
      <c r="C99" s="12"/>
      <c r="D99" s="12"/>
      <c r="E99" s="12"/>
      <c r="F99" s="12"/>
      <c r="G99" s="12"/>
      <c r="H99" s="12"/>
      <c r="I99" s="12"/>
    </row>
    <row r="100" spans="1:9" ht="16.5">
      <c r="A100" s="12"/>
      <c r="B100" s="12"/>
      <c r="C100" s="12"/>
      <c r="D100" s="12"/>
      <c r="E100" s="12"/>
      <c r="F100" s="12"/>
      <c r="G100" s="12"/>
      <c r="H100" s="12"/>
      <c r="I100" s="12"/>
    </row>
    <row r="101" spans="1:9" ht="16.5">
      <c r="A101" s="12"/>
      <c r="B101" s="12"/>
      <c r="C101" s="12"/>
      <c r="D101" s="12"/>
      <c r="E101" s="12"/>
      <c r="F101" s="12"/>
      <c r="G101" s="12"/>
      <c r="H101" s="12"/>
      <c r="I101" s="12"/>
    </row>
    <row r="102" spans="1:9" ht="16.5">
      <c r="A102" s="12"/>
      <c r="B102" s="12"/>
      <c r="C102" s="12"/>
      <c r="D102" s="12"/>
      <c r="E102" s="12"/>
      <c r="F102" s="12"/>
      <c r="G102" s="12"/>
      <c r="H102" s="12"/>
      <c r="I102" s="12"/>
    </row>
    <row r="103" spans="1:9" ht="16.5">
      <c r="A103" s="12"/>
      <c r="B103" s="12"/>
      <c r="C103" s="12"/>
      <c r="D103" s="12"/>
      <c r="E103" s="12"/>
      <c r="F103" s="12"/>
      <c r="G103" s="12"/>
      <c r="H103" s="12"/>
      <c r="I103" s="12"/>
    </row>
    <row r="104" spans="1:9" ht="16.5">
      <c r="A104" s="12"/>
      <c r="B104" s="12"/>
      <c r="C104" s="12"/>
      <c r="D104" s="12"/>
      <c r="E104" s="12"/>
      <c r="F104" s="12"/>
      <c r="G104" s="12"/>
      <c r="H104" s="12"/>
      <c r="I104" s="12"/>
    </row>
  </sheetData>
  <pageMargins left="0.25" right="0.25" top="0.75" bottom="0.75" header="0.3" footer="0.3"/>
  <pageSetup scale="48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EAA8-BBA3-479C-8851-708BD7E9A4CD}">
  <sheetPr>
    <tabColor rgb="FF92D050"/>
  </sheetPr>
  <dimension ref="A1:K44"/>
  <sheetViews>
    <sheetView view="pageBreakPreview" zoomScale="60" zoomScaleNormal="80" workbookViewId="0">
      <selection activeCell="H21" sqref="H21"/>
    </sheetView>
  </sheetViews>
  <sheetFormatPr defaultRowHeight="15"/>
  <cols>
    <col min="1" max="1" width="45.140625" customWidth="1"/>
    <col min="2" max="2" width="10.85546875" bestFit="1" customWidth="1"/>
    <col min="3" max="3" width="19.140625" bestFit="1" customWidth="1"/>
    <col min="4" max="4" width="17.85546875" customWidth="1"/>
    <col min="5" max="5" width="27.140625" customWidth="1"/>
    <col min="6" max="6" width="24.5703125" customWidth="1"/>
    <col min="7" max="7" width="29.28515625" customWidth="1"/>
    <col min="8" max="8" width="37" customWidth="1"/>
    <col min="9" max="9" width="24.5703125" customWidth="1"/>
    <col min="10" max="10" width="24.140625" customWidth="1"/>
    <col min="12" max="12" width="10.5703125" customWidth="1"/>
  </cols>
  <sheetData>
    <row r="1" spans="1:11" ht="26.25">
      <c r="A1" s="23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7.25">
      <c r="A2" s="24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6.5">
      <c r="A3" s="25" t="s">
        <v>475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6.5">
      <c r="A4" s="25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7.25" thickBot="1">
      <c r="A5" s="12"/>
      <c r="B5" s="12"/>
      <c r="C5" s="12"/>
      <c r="D5" s="12"/>
      <c r="E5" s="12"/>
      <c r="F5" s="12" t="s">
        <v>0</v>
      </c>
      <c r="G5" s="12"/>
      <c r="H5" s="26"/>
      <c r="I5" s="12"/>
      <c r="J5" s="12"/>
      <c r="K5" s="12"/>
    </row>
    <row r="6" spans="1:11" ht="18" thickBot="1">
      <c r="A6" s="248" t="str">
        <f>+'S&amp;D'!A12</f>
        <v>Liquid Transportation Pipeline Carriers</v>
      </c>
      <c r="B6" s="181"/>
      <c r="C6" s="12"/>
      <c r="D6" s="28"/>
      <c r="E6" s="28"/>
      <c r="F6" s="28"/>
      <c r="G6" s="504" t="s">
        <v>0</v>
      </c>
      <c r="H6" s="28"/>
      <c r="I6" s="12"/>
      <c r="J6" s="12"/>
      <c r="K6" s="12"/>
    </row>
    <row r="7" spans="1:11" ht="26.25">
      <c r="A7" s="29"/>
      <c r="B7" s="12"/>
      <c r="C7" s="12"/>
      <c r="D7" s="12"/>
      <c r="E7" s="12"/>
      <c r="F7" s="30" t="s">
        <v>387</v>
      </c>
      <c r="G7" s="12"/>
      <c r="H7" s="12"/>
      <c r="I7" s="12"/>
      <c r="J7" s="12"/>
      <c r="K7" s="12"/>
    </row>
    <row r="8" spans="1:11" ht="21" thickBot="1">
      <c r="A8" s="29"/>
      <c r="B8" s="12"/>
      <c r="C8" s="12"/>
      <c r="D8" s="28"/>
      <c r="E8" s="148"/>
      <c r="F8" s="96" t="s">
        <v>487</v>
      </c>
      <c r="G8" s="28"/>
      <c r="H8" s="28"/>
      <c r="I8" s="12"/>
      <c r="J8" s="12"/>
      <c r="K8" s="12"/>
    </row>
    <row r="9" spans="1:11" ht="17.25" thickBot="1">
      <c r="A9" s="32" t="s">
        <v>0</v>
      </c>
      <c r="B9" s="32" t="s">
        <v>0</v>
      </c>
      <c r="C9" s="148"/>
      <c r="D9" s="28"/>
      <c r="E9" s="32" t="s">
        <v>0</v>
      </c>
      <c r="F9" s="32" t="s">
        <v>0</v>
      </c>
      <c r="G9" s="32"/>
      <c r="H9" s="28"/>
      <c r="I9" s="28"/>
      <c r="J9" s="28"/>
      <c r="K9" s="12"/>
    </row>
    <row r="10" spans="1:11" ht="16.5">
      <c r="A10" s="33" t="s">
        <v>0</v>
      </c>
      <c r="B10" s="33" t="s">
        <v>3</v>
      </c>
      <c r="C10" s="33" t="s">
        <v>5</v>
      </c>
      <c r="D10" s="33" t="s">
        <v>156</v>
      </c>
      <c r="E10" s="33" t="s">
        <v>0</v>
      </c>
      <c r="F10" s="33" t="s">
        <v>167</v>
      </c>
      <c r="G10" s="33" t="s">
        <v>168</v>
      </c>
      <c r="H10" s="33" t="s">
        <v>168</v>
      </c>
      <c r="I10" s="33" t="s">
        <v>164</v>
      </c>
      <c r="J10" s="33" t="s">
        <v>164</v>
      </c>
      <c r="K10" s="12"/>
    </row>
    <row r="11" spans="1:11" ht="16.5">
      <c r="A11" s="33" t="s">
        <v>2</v>
      </c>
      <c r="B11" s="33" t="s">
        <v>4</v>
      </c>
      <c r="C11" s="33" t="s">
        <v>6</v>
      </c>
      <c r="D11" s="33" t="s">
        <v>193</v>
      </c>
      <c r="E11" s="33" t="s">
        <v>14</v>
      </c>
      <c r="F11" s="33" t="s">
        <v>383</v>
      </c>
      <c r="G11" s="33" t="s">
        <v>194</v>
      </c>
      <c r="H11" s="33" t="s">
        <v>195</v>
      </c>
      <c r="I11" s="33" t="s">
        <v>159</v>
      </c>
      <c r="J11" s="33" t="s">
        <v>162</v>
      </c>
      <c r="K11" s="12"/>
    </row>
    <row r="12" spans="1:11" ht="16.5">
      <c r="A12" s="33"/>
      <c r="B12" s="33"/>
      <c r="C12" s="33"/>
      <c r="D12" s="33"/>
      <c r="E12" s="33"/>
      <c r="F12" s="34" t="s">
        <v>0</v>
      </c>
      <c r="G12" s="34" t="s">
        <v>424</v>
      </c>
      <c r="H12" s="34" t="s">
        <v>424</v>
      </c>
      <c r="I12" s="33"/>
      <c r="J12" s="33"/>
      <c r="K12" s="12"/>
    </row>
    <row r="13" spans="1:11" ht="17.25" thickBot="1">
      <c r="A13" s="35" t="s">
        <v>24</v>
      </c>
      <c r="B13" s="36" t="s">
        <v>89</v>
      </c>
      <c r="C13" s="36" t="s">
        <v>90</v>
      </c>
      <c r="D13" s="36" t="s">
        <v>91</v>
      </c>
      <c r="E13" s="36" t="s">
        <v>92</v>
      </c>
      <c r="F13" s="36" t="s">
        <v>93</v>
      </c>
      <c r="G13" s="36" t="s">
        <v>94</v>
      </c>
      <c r="H13" s="36" t="s">
        <v>95</v>
      </c>
      <c r="I13" s="36" t="s">
        <v>165</v>
      </c>
      <c r="J13" s="36" t="s">
        <v>166</v>
      </c>
      <c r="K13" s="12"/>
    </row>
    <row r="14" spans="1:11" ht="16.5">
      <c r="A14" s="37" t="s">
        <v>7</v>
      </c>
      <c r="B14" s="37" t="s">
        <v>7</v>
      </c>
      <c r="C14" s="37" t="s">
        <v>7</v>
      </c>
      <c r="D14" s="38" t="s">
        <v>113</v>
      </c>
      <c r="E14" s="38"/>
      <c r="F14" s="37" t="s">
        <v>0</v>
      </c>
      <c r="G14" s="37" t="s">
        <v>7</v>
      </c>
      <c r="H14" s="37" t="s">
        <v>7</v>
      </c>
      <c r="I14" s="37" t="s">
        <v>15</v>
      </c>
      <c r="J14" s="37" t="s">
        <v>15</v>
      </c>
      <c r="K14" s="12"/>
    </row>
    <row r="15" spans="1:11" ht="16.5">
      <c r="A15" s="33"/>
      <c r="B15" s="33"/>
      <c r="C15" s="33"/>
      <c r="D15" s="33"/>
      <c r="E15" s="33"/>
      <c r="F15" s="33"/>
      <c r="G15" s="33"/>
      <c r="H15" s="12"/>
      <c r="I15" s="12"/>
      <c r="J15" s="12"/>
      <c r="K15" s="12"/>
    </row>
    <row r="16" spans="1:11" ht="16.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17.25">
      <c r="A17" s="60" t="str">
        <f>+'S&amp;D'!A22</f>
        <v>Energy Transfer LP</v>
      </c>
      <c r="B17" s="89" t="str">
        <f>+'S&amp;D'!B22</f>
        <v>ET</v>
      </c>
      <c r="C17" s="89" t="str">
        <f>+'S&amp;D'!C22</f>
        <v>Pipeline MLPs</v>
      </c>
      <c r="D17" s="57">
        <f>+'S&amp;D'!G22</f>
        <v>16.489999999999998</v>
      </c>
      <c r="E17" s="58">
        <f>+'S&amp;D'!D37</f>
        <v>56725381985.709991</v>
      </c>
      <c r="F17" s="51">
        <f>+'Dividends '!H16</f>
        <v>8.4899939357186177E-2</v>
      </c>
      <c r="G17" s="51">
        <v>4.4999999999999998E-2</v>
      </c>
      <c r="H17" s="51">
        <v>7.0000000000000007E-2</v>
      </c>
      <c r="I17" s="311">
        <f t="shared" ref="I17:I19" si="0">+F17+G17</f>
        <v>0.12989993935718619</v>
      </c>
      <c r="J17" s="311">
        <f t="shared" ref="J17:J19" si="1">+F17+H17</f>
        <v>0.15489993935718618</v>
      </c>
      <c r="K17" s="12"/>
    </row>
    <row r="18" spans="1:11" ht="17.25">
      <c r="A18" s="60" t="str">
        <f>+'S&amp;D'!A23</f>
        <v>Enterprise Products Partnership LP</v>
      </c>
      <c r="B18" s="89" t="str">
        <f>+'S&amp;D'!B23</f>
        <v>EPD</v>
      </c>
      <c r="C18" s="89" t="str">
        <f>+'S&amp;D'!C23</f>
        <v>Pipeline MLPs</v>
      </c>
      <c r="D18" s="57">
        <f>+'S&amp;D'!G23</f>
        <v>32.06</v>
      </c>
      <c r="E18" s="58">
        <f>+'S&amp;D'!D38</f>
        <v>69306047496.980011</v>
      </c>
      <c r="F18" s="51">
        <f>+'Dividends '!H17</f>
        <v>7.2364316905801612E-2</v>
      </c>
      <c r="G18" s="51">
        <v>0.1</v>
      </c>
      <c r="H18" s="51">
        <v>5.5E-2</v>
      </c>
      <c r="I18" s="311">
        <f t="shared" si="0"/>
        <v>0.17236431690580162</v>
      </c>
      <c r="J18" s="311">
        <f t="shared" si="1"/>
        <v>0.12736431690580161</v>
      </c>
      <c r="K18" s="12"/>
    </row>
    <row r="19" spans="1:11" ht="17.25">
      <c r="A19" s="60" t="str">
        <f>+'S&amp;D'!A24</f>
        <v>Hess Midstream LP</v>
      </c>
      <c r="B19" s="89" t="str">
        <f>+'S&amp;D'!B24</f>
        <v>HESM</v>
      </c>
      <c r="C19" s="89" t="str">
        <f>+'S&amp;D'!C24</f>
        <v>Pipeline MLPs</v>
      </c>
      <c r="D19" s="57">
        <f>+'S&amp;D'!G24</f>
        <v>34.5</v>
      </c>
      <c r="E19" s="58">
        <f>+'S&amp;D'!D39</f>
        <v>7165185630</v>
      </c>
      <c r="F19" s="51">
        <f>+'Dividends '!H18</f>
        <v>9.2753623188405798E-2</v>
      </c>
      <c r="G19" s="51">
        <v>6.5000000000000002E-2</v>
      </c>
      <c r="H19" s="334">
        <v>9.5000000000000001E-2</v>
      </c>
      <c r="I19" s="311">
        <f t="shared" si="0"/>
        <v>0.1577536231884058</v>
      </c>
      <c r="J19" s="311">
        <f t="shared" si="1"/>
        <v>0.1877536231884058</v>
      </c>
      <c r="K19" s="12"/>
    </row>
    <row r="20" spans="1:11" ht="17.25">
      <c r="A20" s="60" t="str">
        <f>+'S&amp;D'!A25</f>
        <v>MPLX, LP</v>
      </c>
      <c r="B20" s="89" t="str">
        <f>+'S&amp;D'!B25</f>
        <v>MPLX</v>
      </c>
      <c r="C20" s="89" t="str">
        <f>+'S&amp;D'!C25</f>
        <v>Pipeline MLPs</v>
      </c>
      <c r="D20" s="57">
        <f>+'S&amp;D'!G25</f>
        <v>53.37</v>
      </c>
      <c r="E20" s="58">
        <f>+'S&amp;D'!D40</f>
        <v>54170550000</v>
      </c>
      <c r="F20" s="51">
        <f>+'Dividends '!H19</f>
        <v>8.4317032040472181E-2</v>
      </c>
      <c r="G20" s="51">
        <v>7.4999999999999997E-2</v>
      </c>
      <c r="H20" s="51">
        <v>9.5000000000000001E-2</v>
      </c>
      <c r="I20" s="311">
        <f t="shared" ref="I20:I22" si="2">+F20+G20</f>
        <v>0.15931703204047218</v>
      </c>
      <c r="J20" s="311">
        <f t="shared" ref="J20:J22" si="3">+F20+H20</f>
        <v>0.17931703204047217</v>
      </c>
      <c r="K20" s="12"/>
    </row>
    <row r="21" spans="1:11" ht="17.25">
      <c r="A21" s="60" t="str">
        <f>+'S&amp;D'!A26</f>
        <v>Plains All American Pipeline LP</v>
      </c>
      <c r="B21" s="89" t="str">
        <f>+'S&amp;D'!B26</f>
        <v>PAA</v>
      </c>
      <c r="C21" s="89" t="str">
        <f>+'S&amp;D'!C26</f>
        <v>Pipeline MLPs</v>
      </c>
      <c r="D21" s="57">
        <f>+'S&amp;D'!G26</f>
        <v>17.96</v>
      </c>
      <c r="E21" s="58">
        <f>+'S&amp;D'!D41</f>
        <v>12671151718.120001</v>
      </c>
      <c r="F21" s="51">
        <f>+'Dividends '!H20</f>
        <v>0.10022271714922049</v>
      </c>
      <c r="G21" s="334">
        <v>0.13</v>
      </c>
      <c r="H21" s="510">
        <v>0.115</v>
      </c>
      <c r="I21" s="335">
        <f>+F21+G21</f>
        <v>0.23022271714922049</v>
      </c>
      <c r="J21" s="311">
        <f t="shared" si="3"/>
        <v>0.21522271714922048</v>
      </c>
      <c r="K21" s="12"/>
    </row>
    <row r="22" spans="1:11" ht="18" thickBot="1">
      <c r="A22" s="60" t="str">
        <f>+'S&amp;D'!A27</f>
        <v>Western Midstream Partners LP</v>
      </c>
      <c r="B22" s="89" t="str">
        <f>+'S&amp;D'!B27</f>
        <v>WES</v>
      </c>
      <c r="C22" s="89" t="str">
        <f>+'S&amp;D'!C27</f>
        <v>Pipeline MLPs</v>
      </c>
      <c r="D22" s="57">
        <f>+'S&amp;D'!G27</f>
        <v>39.5</v>
      </c>
      <c r="E22" s="58">
        <f>+'S&amp;D'!D42</f>
        <v>15926623846.5</v>
      </c>
      <c r="F22" s="312">
        <f>+'Dividends '!H21</f>
        <v>9.8734177215189872E-2</v>
      </c>
      <c r="G22" s="312">
        <v>0.09</v>
      </c>
      <c r="H22" s="312">
        <v>8.5000000000000006E-2</v>
      </c>
      <c r="I22" s="313">
        <f t="shared" si="2"/>
        <v>0.18873417721518987</v>
      </c>
      <c r="J22" s="336">
        <f t="shared" si="3"/>
        <v>0.18373417721518986</v>
      </c>
      <c r="K22" s="12"/>
    </row>
    <row r="23" spans="1:11" ht="17.25" thickTop="1">
      <c r="A23" s="12"/>
      <c r="B23" s="12"/>
      <c r="C23" s="14" t="s">
        <v>0</v>
      </c>
      <c r="D23" s="15" t="s">
        <v>0</v>
      </c>
      <c r="E23" s="15" t="s">
        <v>45</v>
      </c>
      <c r="F23" s="403">
        <f>MAX(F17:F22)</f>
        <v>0.10022271714922049</v>
      </c>
      <c r="G23" s="16">
        <f>MAX(G17:G22)</f>
        <v>0.13</v>
      </c>
      <c r="H23" s="16">
        <f>MAX(H17:H22)</f>
        <v>0.115</v>
      </c>
      <c r="I23" s="16">
        <f>MAX(I17:I22)</f>
        <v>0.23022271714922049</v>
      </c>
      <c r="J23" s="16">
        <f>MAX(J17:J22)</f>
        <v>0.21522271714922048</v>
      </c>
      <c r="K23" s="12"/>
    </row>
    <row r="24" spans="1:11" ht="16.5">
      <c r="A24" s="12"/>
      <c r="B24" s="12"/>
      <c r="C24" s="14"/>
      <c r="D24" s="15"/>
      <c r="E24" s="15" t="s">
        <v>46</v>
      </c>
      <c r="F24" s="402">
        <f>MIN(F17:F22)</f>
        <v>7.2364316905801612E-2</v>
      </c>
      <c r="G24" s="326">
        <f t="shared" ref="G24:J24" si="4">MIN(G17:G22)</f>
        <v>4.4999999999999998E-2</v>
      </c>
      <c r="H24" s="326">
        <f t="shared" si="4"/>
        <v>5.5E-2</v>
      </c>
      <c r="I24" s="326">
        <f t="shared" si="4"/>
        <v>0.12989993935718619</v>
      </c>
      <c r="J24" s="326">
        <f t="shared" si="4"/>
        <v>0.12736431690580161</v>
      </c>
      <c r="K24" s="12"/>
    </row>
    <row r="25" spans="1:11" ht="16.5">
      <c r="A25" s="12"/>
      <c r="B25" s="12"/>
      <c r="D25" s="17" t="s">
        <v>0</v>
      </c>
      <c r="E25" s="14" t="s">
        <v>18</v>
      </c>
      <c r="F25" s="52">
        <f>MEDIAN(F17:F22)</f>
        <v>8.8826781272795988E-2</v>
      </c>
      <c r="G25" s="304">
        <f>MEDIAN(G17:G22)</f>
        <v>8.249999999999999E-2</v>
      </c>
      <c r="H25" s="304">
        <f>MEDIAN(H17:H22)</f>
        <v>0.09</v>
      </c>
      <c r="I25" s="305">
        <f>MEDIAN(I17:I22)</f>
        <v>0.16584067447313688</v>
      </c>
      <c r="J25" s="305">
        <f>MEDIAN(J17:J22)</f>
        <v>0.18152560462783102</v>
      </c>
      <c r="K25" s="12"/>
    </row>
    <row r="26" spans="1:11" ht="16.5">
      <c r="A26" s="12"/>
      <c r="B26" s="12"/>
      <c r="D26" s="21" t="s">
        <v>0</v>
      </c>
      <c r="E26" s="14" t="s">
        <v>392</v>
      </c>
      <c r="F26" s="52">
        <f>AVERAGE(F17:F22)</f>
        <v>8.8881967642712681E-2</v>
      </c>
      <c r="G26" s="52">
        <f>AVERAGE(G17:G22)</f>
        <v>8.4166666666666667E-2</v>
      </c>
      <c r="H26" s="304">
        <f>AVERAGE(H17:H22)</f>
        <v>8.5833333333333331E-2</v>
      </c>
      <c r="I26" s="305">
        <f>AVERAGE(I17:I22)</f>
        <v>0.17304863430937936</v>
      </c>
      <c r="J26" s="305">
        <f>AVERAGE(J17:J22)</f>
        <v>0.17471530097604604</v>
      </c>
      <c r="K26" s="12"/>
    </row>
    <row r="27" spans="1:11" ht="16.5">
      <c r="A27" s="12"/>
      <c r="B27" s="12"/>
      <c r="D27" s="21"/>
      <c r="E27" s="14"/>
      <c r="F27" s="18"/>
      <c r="G27" s="18"/>
      <c r="H27" s="19"/>
      <c r="I27" s="20"/>
      <c r="J27" s="20"/>
      <c r="K27" s="12"/>
    </row>
    <row r="28" spans="1:11" ht="17.25" thickBo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27" thickBot="1">
      <c r="A29" s="12"/>
      <c r="B29" s="12"/>
      <c r="C29" s="12"/>
      <c r="D29" s="12"/>
      <c r="E29" s="12"/>
      <c r="F29" s="12"/>
      <c r="G29" s="178" t="s">
        <v>170</v>
      </c>
      <c r="H29" s="180"/>
      <c r="I29" s="306">
        <v>0.17299999999999999</v>
      </c>
      <c r="J29" s="12"/>
      <c r="K29" s="12"/>
    </row>
    <row r="30" spans="1:11" ht="20.25" customHeight="1" thickBo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27" thickBot="1">
      <c r="A31" s="12"/>
      <c r="B31" s="12"/>
      <c r="C31" s="12"/>
      <c r="D31" s="12"/>
      <c r="E31" s="12"/>
      <c r="F31" s="12"/>
      <c r="G31" s="178" t="s">
        <v>169</v>
      </c>
      <c r="H31" s="181"/>
      <c r="I31" s="306">
        <v>0.17469999999999999</v>
      </c>
      <c r="J31" s="12"/>
      <c r="K31" s="12"/>
    </row>
    <row r="32" spans="1:11" ht="16.5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26.25">
      <c r="A33" s="23" t="s">
        <v>332</v>
      </c>
      <c r="B33" s="12"/>
      <c r="C33" s="23" t="s">
        <v>331</v>
      </c>
      <c r="D33" s="12"/>
      <c r="E33" s="12"/>
      <c r="F33" s="12"/>
      <c r="G33" s="12"/>
      <c r="H33" s="12"/>
      <c r="I33" s="12"/>
      <c r="J33" s="12"/>
    </row>
    <row r="34" spans="1:10" ht="17.25">
      <c r="A34" s="60" t="s">
        <v>335</v>
      </c>
      <c r="B34" s="12"/>
      <c r="C34" s="60" t="s">
        <v>335</v>
      </c>
      <c r="D34" s="12"/>
      <c r="E34" s="12"/>
      <c r="F34" s="12"/>
      <c r="G34" s="12"/>
      <c r="H34" s="12"/>
      <c r="I34" s="12"/>
      <c r="J34" s="12"/>
    </row>
    <row r="35" spans="1:10" ht="17.25">
      <c r="A35" s="60" t="s">
        <v>334</v>
      </c>
      <c r="B35" s="12"/>
      <c r="C35" s="60" t="s">
        <v>333</v>
      </c>
      <c r="D35" s="12"/>
      <c r="E35" s="12"/>
      <c r="F35" s="12"/>
      <c r="G35" s="12"/>
      <c r="H35" s="12"/>
      <c r="I35" s="12"/>
      <c r="J35" s="12"/>
    </row>
    <row r="36" spans="1:10" ht="16.5">
      <c r="A36" s="42"/>
      <c r="B36" s="12"/>
      <c r="C36" s="42"/>
      <c r="D36" s="12"/>
      <c r="E36" s="12"/>
      <c r="F36" s="12"/>
      <c r="G36" s="12"/>
      <c r="H36" s="12"/>
      <c r="I36" s="12"/>
      <c r="J36" s="12"/>
    </row>
    <row r="37" spans="1:10" ht="16.5">
      <c r="A37" s="42"/>
      <c r="B37" s="12"/>
      <c r="C37" s="42"/>
      <c r="D37" s="12"/>
      <c r="E37" s="12"/>
      <c r="F37" s="12"/>
      <c r="G37" s="12"/>
      <c r="H37" s="12"/>
      <c r="I37" s="12"/>
      <c r="J37" s="12"/>
    </row>
    <row r="38" spans="1:10" ht="26.25">
      <c r="A38" s="23" t="s">
        <v>190</v>
      </c>
      <c r="B38" s="12"/>
      <c r="C38" s="23" t="s">
        <v>190</v>
      </c>
      <c r="D38" s="12"/>
      <c r="E38" s="12"/>
      <c r="F38" s="12"/>
      <c r="G38" s="12"/>
      <c r="H38" s="12"/>
      <c r="I38" s="12"/>
      <c r="J38" s="12"/>
    </row>
    <row r="39" spans="1:10" ht="16.5">
      <c r="A39" s="42"/>
      <c r="B39" s="12"/>
      <c r="C39" s="42"/>
      <c r="D39" s="12"/>
      <c r="E39" s="12"/>
      <c r="F39" s="12"/>
      <c r="G39" s="12"/>
      <c r="H39" s="12"/>
      <c r="I39" s="12"/>
      <c r="J39" s="12"/>
    </row>
    <row r="40" spans="1:10" ht="17.25">
      <c r="A40" s="60" t="s">
        <v>191</v>
      </c>
      <c r="B40" s="12"/>
      <c r="C40" s="60" t="s">
        <v>191</v>
      </c>
      <c r="D40" s="12"/>
      <c r="E40" s="12"/>
      <c r="F40" s="12"/>
      <c r="G40" s="12"/>
      <c r="H40" s="12"/>
      <c r="I40" s="12"/>
      <c r="J40" s="12"/>
    </row>
    <row r="41" spans="1:10" ht="17.25">
      <c r="A41" s="60" t="s">
        <v>189</v>
      </c>
      <c r="B41" s="12"/>
      <c r="C41" s="60" t="s">
        <v>189</v>
      </c>
      <c r="D41" s="12"/>
      <c r="E41" s="12"/>
      <c r="F41" s="12"/>
      <c r="G41" s="12"/>
      <c r="H41" s="12"/>
      <c r="I41" s="12"/>
      <c r="J41" s="12"/>
    </row>
    <row r="42" spans="1:10" ht="17.25">
      <c r="A42" s="60" t="s">
        <v>192</v>
      </c>
      <c r="B42" s="12"/>
      <c r="C42" s="60" t="s">
        <v>192</v>
      </c>
      <c r="D42" s="12"/>
      <c r="E42" s="12"/>
      <c r="F42" s="12"/>
      <c r="G42" s="12"/>
      <c r="H42" s="12"/>
      <c r="I42" s="12"/>
      <c r="J42" s="12"/>
    </row>
    <row r="43" spans="1:10" ht="17.25">
      <c r="A43" s="60" t="s">
        <v>337</v>
      </c>
      <c r="B43" s="12"/>
      <c r="C43" s="60" t="s">
        <v>336</v>
      </c>
      <c r="D43" s="12"/>
      <c r="E43" s="12"/>
      <c r="F43" s="12"/>
      <c r="G43" s="12"/>
      <c r="H43" s="12"/>
      <c r="I43" s="12"/>
      <c r="J43" s="12"/>
    </row>
    <row r="44" spans="1:10" ht="17.25">
      <c r="A44" s="60"/>
      <c r="B44" s="12"/>
      <c r="C44" s="60"/>
      <c r="D44" s="12"/>
      <c r="E44" s="12"/>
      <c r="F44" s="12"/>
      <c r="G44" s="12"/>
      <c r="H44" s="12"/>
      <c r="I44" s="12"/>
      <c r="J44" s="12"/>
    </row>
  </sheetData>
  <pageMargins left="0.25" right="0.25" top="0.75" bottom="0.75" header="0.3" footer="0.3"/>
  <pageSetup scale="4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150D5-3409-4DE1-88B0-B66A1BCAC2E5}">
  <sheetPr>
    <tabColor rgb="FF92D050"/>
  </sheetPr>
  <dimension ref="A1:K106"/>
  <sheetViews>
    <sheetView view="pageBreakPreview" topLeftCell="A10" zoomScale="70" zoomScaleNormal="80" zoomScaleSheetLayoutView="70" workbookViewId="0">
      <selection activeCell="E25" sqref="E25"/>
    </sheetView>
  </sheetViews>
  <sheetFormatPr defaultRowHeight="15"/>
  <cols>
    <col min="1" max="1" width="47.85546875" customWidth="1"/>
    <col min="2" max="2" width="15.28515625" customWidth="1"/>
    <col min="3" max="3" width="24.5703125" customWidth="1"/>
    <col min="4" max="4" width="26.5703125" customWidth="1"/>
    <col min="5" max="5" width="32.28515625" customWidth="1"/>
    <col min="6" max="6" width="22.42578125" customWidth="1"/>
    <col min="7" max="7" width="27" customWidth="1"/>
    <col min="8" max="8" width="39.85546875" customWidth="1"/>
    <col min="9" max="9" width="15.28515625" customWidth="1"/>
    <col min="10" max="10" width="24.5703125" customWidth="1"/>
    <col min="11" max="11" width="24.140625" customWidth="1"/>
    <col min="13" max="13" width="10.5703125" customWidth="1"/>
  </cols>
  <sheetData>
    <row r="1" spans="1:9" ht="26.25">
      <c r="A1" s="23" t="s">
        <v>1</v>
      </c>
      <c r="B1" s="12"/>
      <c r="C1" s="12"/>
      <c r="D1" s="12"/>
      <c r="E1" s="12"/>
      <c r="F1" s="12"/>
      <c r="G1" s="12"/>
      <c r="H1" s="12"/>
      <c r="I1" s="12"/>
    </row>
    <row r="2" spans="1:9" ht="17.25">
      <c r="A2" s="24" t="s">
        <v>9</v>
      </c>
      <c r="B2" s="12"/>
      <c r="C2" s="12"/>
      <c r="D2" s="12"/>
      <c r="E2" s="12"/>
      <c r="F2" s="12"/>
      <c r="G2" s="12"/>
      <c r="H2" s="12"/>
      <c r="I2" s="12"/>
    </row>
    <row r="3" spans="1:9" ht="16.5">
      <c r="A3" s="25" t="s">
        <v>475</v>
      </c>
      <c r="B3" s="12"/>
      <c r="C3" s="12"/>
      <c r="D3" s="12"/>
      <c r="E3" s="12"/>
      <c r="F3" s="12"/>
      <c r="G3" s="12"/>
      <c r="H3" s="12"/>
      <c r="I3" s="12"/>
    </row>
    <row r="4" spans="1:9" ht="16.5">
      <c r="A4" s="25"/>
      <c r="B4" s="12"/>
      <c r="C4" s="12"/>
      <c r="D4" s="12"/>
      <c r="E4" s="12"/>
      <c r="F4" s="12"/>
      <c r="G4" s="12"/>
      <c r="H4" s="12"/>
      <c r="I4" s="12"/>
    </row>
    <row r="5" spans="1:9" ht="17.25" thickBot="1">
      <c r="A5" s="12"/>
      <c r="B5" s="12"/>
      <c r="C5" s="12"/>
      <c r="D5" s="12"/>
      <c r="E5" s="12"/>
      <c r="F5" s="12"/>
      <c r="G5" s="12"/>
      <c r="H5" s="12"/>
      <c r="I5" s="26"/>
    </row>
    <row r="6" spans="1:9" ht="21" thickBot="1">
      <c r="A6" s="246" t="str">
        <f>+'S&amp;D'!A12</f>
        <v>Liquid Transportation Pipeline Carriers</v>
      </c>
      <c r="B6" s="181"/>
      <c r="C6" s="12"/>
      <c r="D6" s="12"/>
      <c r="E6" s="12"/>
      <c r="F6" s="12"/>
      <c r="G6" s="12"/>
      <c r="H6" s="12"/>
      <c r="I6" s="12"/>
    </row>
    <row r="7" spans="1:9" ht="20.25">
      <c r="A7" s="29"/>
      <c r="B7" s="12"/>
      <c r="C7" s="12"/>
      <c r="D7" s="12"/>
      <c r="E7" s="12"/>
      <c r="F7" s="12"/>
      <c r="G7" s="12"/>
      <c r="H7" s="12"/>
      <c r="I7" s="12"/>
    </row>
    <row r="8" spans="1:9" ht="21" thickBot="1">
      <c r="A8" s="29"/>
      <c r="B8" s="12"/>
      <c r="C8" s="12"/>
      <c r="D8" s="28"/>
      <c r="E8" s="28" t="s">
        <v>0</v>
      </c>
      <c r="F8" s="28" t="s">
        <v>0</v>
      </c>
      <c r="G8" s="12"/>
      <c r="H8" s="12"/>
      <c r="I8" s="12"/>
    </row>
    <row r="9" spans="1:9" ht="26.25">
      <c r="A9" s="29"/>
      <c r="B9" s="12"/>
      <c r="D9" s="12"/>
      <c r="E9" s="30" t="s">
        <v>431</v>
      </c>
      <c r="F9" s="12"/>
      <c r="G9" s="12"/>
      <c r="H9" s="12"/>
      <c r="I9" s="12"/>
    </row>
    <row r="10" spans="1:9" ht="21" thickBot="1">
      <c r="A10" s="29"/>
      <c r="B10" s="12"/>
      <c r="C10" s="12"/>
      <c r="D10" s="28"/>
      <c r="E10" s="31" t="s">
        <v>487</v>
      </c>
      <c r="F10" s="28"/>
      <c r="G10" s="12"/>
      <c r="H10" s="12"/>
      <c r="I10" s="12"/>
    </row>
    <row r="11" spans="1:9" ht="20.25">
      <c r="A11" s="29"/>
      <c r="B11" s="12"/>
      <c r="C11" s="12"/>
      <c r="D11" s="12"/>
      <c r="E11" s="12"/>
      <c r="F11" s="33"/>
      <c r="G11" s="33"/>
      <c r="H11" s="12"/>
      <c r="I11" s="12"/>
    </row>
    <row r="12" spans="1:9" ht="20.25">
      <c r="A12" s="29"/>
      <c r="B12" s="12"/>
      <c r="C12" s="12"/>
      <c r="D12" s="12" t="s">
        <v>0</v>
      </c>
      <c r="E12" s="12"/>
      <c r="F12" s="33"/>
      <c r="G12" s="33"/>
      <c r="H12" s="12"/>
      <c r="I12" s="12"/>
    </row>
    <row r="13" spans="1:9" ht="45.75" customHeight="1" thickBot="1">
      <c r="A13" s="32" t="s">
        <v>0</v>
      </c>
      <c r="B13" s="32" t="s">
        <v>0</v>
      </c>
      <c r="C13" s="32" t="s">
        <v>0</v>
      </c>
      <c r="D13" s="28"/>
      <c r="E13" s="28"/>
      <c r="F13" s="32" t="s">
        <v>0</v>
      </c>
      <c r="G13" s="32"/>
      <c r="H13" s="32"/>
      <c r="I13" s="12"/>
    </row>
    <row r="14" spans="1:9" ht="16.5">
      <c r="A14" s="33" t="s">
        <v>0</v>
      </c>
      <c r="B14" s="33" t="s">
        <v>3</v>
      </c>
      <c r="C14" s="33" t="s">
        <v>5</v>
      </c>
      <c r="D14" s="33" t="s">
        <v>167</v>
      </c>
      <c r="E14" s="33" t="s">
        <v>168</v>
      </c>
      <c r="F14" s="33" t="s">
        <v>171</v>
      </c>
      <c r="G14" s="33" t="s">
        <v>19</v>
      </c>
      <c r="H14" s="33" t="s">
        <v>173</v>
      </c>
      <c r="I14" s="12"/>
    </row>
    <row r="15" spans="1:9" ht="16.5">
      <c r="A15" s="33" t="s">
        <v>2</v>
      </c>
      <c r="B15" s="33" t="s">
        <v>4</v>
      </c>
      <c r="C15" s="33" t="s">
        <v>6</v>
      </c>
      <c r="D15" s="33" t="s">
        <v>383</v>
      </c>
      <c r="E15" s="33" t="s">
        <v>384</v>
      </c>
      <c r="F15" s="33" t="s">
        <v>122</v>
      </c>
      <c r="G15" s="33" t="s">
        <v>172</v>
      </c>
      <c r="H15" s="33" t="s">
        <v>163</v>
      </c>
      <c r="I15" s="12"/>
    </row>
    <row r="16" spans="1:9" ht="16.5">
      <c r="A16" s="33"/>
      <c r="B16" s="33" t="s">
        <v>0</v>
      </c>
      <c r="C16" s="33" t="s">
        <v>0</v>
      </c>
      <c r="D16" s="33" t="s">
        <v>0</v>
      </c>
      <c r="E16" s="34" t="s">
        <v>385</v>
      </c>
      <c r="F16" s="34" t="s">
        <v>0</v>
      </c>
      <c r="G16" s="33" t="s">
        <v>177</v>
      </c>
      <c r="H16" s="34" t="s">
        <v>178</v>
      </c>
      <c r="I16" s="12"/>
    </row>
    <row r="17" spans="1:11" ht="18" customHeight="1" thickBot="1">
      <c r="A17" s="64" t="s">
        <v>0</v>
      </c>
      <c r="B17" s="36" t="s">
        <v>0</v>
      </c>
      <c r="C17" s="36" t="s">
        <v>0</v>
      </c>
      <c r="D17" s="31" t="s">
        <v>175</v>
      </c>
      <c r="E17" s="31" t="s">
        <v>176</v>
      </c>
      <c r="F17" s="31" t="s">
        <v>174</v>
      </c>
      <c r="G17" s="33" t="s">
        <v>94</v>
      </c>
      <c r="H17" s="148"/>
      <c r="I17" s="12"/>
    </row>
    <row r="18" spans="1:11" ht="16.5">
      <c r="A18" s="37" t="s">
        <v>0</v>
      </c>
      <c r="B18" s="37" t="s">
        <v>0</v>
      </c>
      <c r="C18" s="37" t="s">
        <v>0</v>
      </c>
      <c r="D18" s="37" t="s">
        <v>7</v>
      </c>
      <c r="E18" s="37" t="s">
        <v>7</v>
      </c>
      <c r="F18" s="37" t="s">
        <v>0</v>
      </c>
      <c r="G18" s="65" t="s">
        <v>0</v>
      </c>
      <c r="H18" s="37" t="s">
        <v>0</v>
      </c>
      <c r="I18" s="12"/>
    </row>
    <row r="19" spans="1:11" ht="16.5">
      <c r="A19" s="33"/>
      <c r="B19" s="33"/>
      <c r="C19" s="33"/>
      <c r="D19" s="33"/>
      <c r="E19" s="12"/>
      <c r="F19" s="33"/>
      <c r="G19" s="12"/>
      <c r="H19" s="12"/>
      <c r="I19" s="12"/>
      <c r="J19" t="s">
        <v>0</v>
      </c>
      <c r="K19" t="s">
        <v>0</v>
      </c>
    </row>
    <row r="20" spans="1:11" ht="16.5">
      <c r="A20" s="12"/>
      <c r="B20" s="12"/>
      <c r="C20" s="12"/>
      <c r="D20" s="12"/>
      <c r="E20" s="12"/>
      <c r="F20" s="12"/>
      <c r="G20" s="12"/>
      <c r="H20" s="12" t="s">
        <v>0</v>
      </c>
      <c r="I20" s="12"/>
      <c r="J20" t="s">
        <v>0</v>
      </c>
      <c r="K20" t="s">
        <v>0</v>
      </c>
    </row>
    <row r="21" spans="1:11" ht="17.25">
      <c r="A21" s="60" t="str">
        <f>+'S&amp;D'!A22</f>
        <v>Energy Transfer LP</v>
      </c>
      <c r="B21" s="89" t="str">
        <f>+'S&amp;D'!B22</f>
        <v>ET</v>
      </c>
      <c r="C21" s="33" t="str">
        <f>+'S&amp;D'!C22</f>
        <v>Pipeline MLPs</v>
      </c>
      <c r="D21" s="63">
        <f>+'Dividends '!H16</f>
        <v>8.4899939357186177E-2</v>
      </c>
      <c r="E21" s="63">
        <f>+'Single Stage Div Growth Model'!H17</f>
        <v>7.0000000000000007E-2</v>
      </c>
      <c r="F21" s="63">
        <f>'Growth &amp; Inflation Rates '!$F$56</f>
        <v>4.2900000000000001E-2</v>
      </c>
      <c r="G21" s="63">
        <f t="shared" ref="G21:G23" si="0">(F21+E21)/2</f>
        <v>5.645E-2</v>
      </c>
      <c r="H21" s="63">
        <f t="shared" ref="H21:H23" si="1">D21*(1+(0.5*G21))+(0.67*E21)+(0.33*F21)</f>
        <v>0.14835324014554277</v>
      </c>
      <c r="I21" s="12"/>
    </row>
    <row r="22" spans="1:11" ht="17.25">
      <c r="A22" s="60" t="str">
        <f>+'S&amp;D'!A23</f>
        <v>Enterprise Products Partnership LP</v>
      </c>
      <c r="B22" s="89" t="str">
        <f>+'S&amp;D'!B23</f>
        <v>EPD</v>
      </c>
      <c r="C22" s="33" t="str">
        <f>+'S&amp;D'!C23</f>
        <v>Pipeline MLPs</v>
      </c>
      <c r="D22" s="63">
        <f>+'Dividends '!H17</f>
        <v>7.2364316905801612E-2</v>
      </c>
      <c r="E22" s="63">
        <f>+'Single Stage Div Growth Model'!H18</f>
        <v>5.5E-2</v>
      </c>
      <c r="F22" s="63">
        <f>'Growth &amp; Inflation Rates '!$F$56</f>
        <v>4.2900000000000001E-2</v>
      </c>
      <c r="G22" s="63">
        <f t="shared" si="0"/>
        <v>4.895E-2</v>
      </c>
      <c r="H22" s="63">
        <f t="shared" si="1"/>
        <v>0.12514243356207111</v>
      </c>
      <c r="I22" s="12"/>
    </row>
    <row r="23" spans="1:11" ht="17.25">
      <c r="A23" s="60" t="str">
        <f>+'S&amp;D'!A24</f>
        <v>Hess Midstream LP</v>
      </c>
      <c r="B23" s="89" t="str">
        <f>+'S&amp;D'!B24</f>
        <v>HESM</v>
      </c>
      <c r="C23" s="33" t="str">
        <f>+'S&amp;D'!C24</f>
        <v>Pipeline MLPs</v>
      </c>
      <c r="D23" s="63">
        <f>+'Dividends '!H18</f>
        <v>9.2753623188405798E-2</v>
      </c>
      <c r="E23" s="63">
        <f>+'Single Stage Div Growth Model'!H19</f>
        <v>9.5000000000000001E-2</v>
      </c>
      <c r="F23" s="63">
        <f>'Growth &amp; Inflation Rates '!$F$56</f>
        <v>4.2900000000000001E-2</v>
      </c>
      <c r="G23" s="63">
        <f t="shared" si="0"/>
        <v>6.8949999999999997E-2</v>
      </c>
      <c r="H23" s="63">
        <f t="shared" si="1"/>
        <v>0.1737583043478261</v>
      </c>
      <c r="I23" s="12"/>
    </row>
    <row r="24" spans="1:11" ht="17.25">
      <c r="A24" s="60" t="str">
        <f>+'S&amp;D'!A25</f>
        <v>MPLX, LP</v>
      </c>
      <c r="B24" s="89" t="str">
        <f>+'S&amp;D'!B25</f>
        <v>MPLX</v>
      </c>
      <c r="C24" s="33" t="str">
        <f>+'S&amp;D'!C25</f>
        <v>Pipeline MLPs</v>
      </c>
      <c r="D24" s="63">
        <f>+'Dividends '!H19</f>
        <v>8.4317032040472181E-2</v>
      </c>
      <c r="E24" s="63">
        <f>+'Single Stage Div Growth Model'!H20</f>
        <v>9.5000000000000001E-2</v>
      </c>
      <c r="F24" s="63">
        <f>'Growth &amp; Inflation Rates '!$F$56</f>
        <v>4.2900000000000001E-2</v>
      </c>
      <c r="G24" s="63">
        <f>(F24+E24)/2</f>
        <v>6.8949999999999997E-2</v>
      </c>
      <c r="H24" s="63">
        <f>D24*(1+(0.5*G24))+(0.67*E24)+(0.33*F24)</f>
        <v>0.16503086172006745</v>
      </c>
      <c r="I24" s="12"/>
      <c r="J24" t="s">
        <v>0</v>
      </c>
      <c r="K24" t="s">
        <v>0</v>
      </c>
    </row>
    <row r="25" spans="1:11" ht="17.25">
      <c r="A25" s="60" t="str">
        <f>+'S&amp;D'!A26</f>
        <v>Plains All American Pipeline LP</v>
      </c>
      <c r="B25" s="89" t="str">
        <f>+'S&amp;D'!B26</f>
        <v>PAA</v>
      </c>
      <c r="C25" s="33" t="str">
        <f>+'S&amp;D'!C26</f>
        <v>Pipeline MLPs</v>
      </c>
      <c r="D25" s="63">
        <f>+'Dividends '!H20</f>
        <v>0.10022271714922049</v>
      </c>
      <c r="E25" s="509">
        <f>+'Single Stage Div Growth Model'!H21</f>
        <v>0.115</v>
      </c>
      <c r="F25" s="63">
        <f>'Growth &amp; Inflation Rates '!$F$56</f>
        <v>4.2900000000000001E-2</v>
      </c>
      <c r="G25" s="63">
        <f>(F25+E25)/2</f>
        <v>7.8950000000000006E-2</v>
      </c>
      <c r="H25" s="63">
        <f>D25*(1+(0.5*G25))+(0.67*E25)+(0.33*F25)</f>
        <v>0.19538600890868599</v>
      </c>
      <c r="I25" s="12"/>
      <c r="J25" t="s">
        <v>0</v>
      </c>
      <c r="K25" t="s">
        <v>0</v>
      </c>
    </row>
    <row r="26" spans="1:11" ht="18" thickBot="1">
      <c r="A26" s="60" t="str">
        <f>+'S&amp;D'!A27</f>
        <v>Western Midstream Partners LP</v>
      </c>
      <c r="B26" s="89" t="str">
        <f>+'S&amp;D'!B27</f>
        <v>WES</v>
      </c>
      <c r="C26" s="33" t="str">
        <f>+'S&amp;D'!C27</f>
        <v>Pipeline MLPs</v>
      </c>
      <c r="D26" s="63">
        <f>+'Dividends '!H21</f>
        <v>9.8734177215189872E-2</v>
      </c>
      <c r="E26" s="63">
        <f>+'Single Stage Div Growth Model'!H22</f>
        <v>8.5000000000000006E-2</v>
      </c>
      <c r="F26" s="63">
        <f>'Growth &amp; Inflation Rates '!$F$56</f>
        <v>4.2900000000000001E-2</v>
      </c>
      <c r="G26" s="63">
        <f t="shared" ref="G26" si="2">(F26+E26)/2</f>
        <v>6.3950000000000007E-2</v>
      </c>
      <c r="H26" s="337">
        <f t="shared" ref="H26" si="3">D26*(1+(0.5*G26))+(0.67*E26)+(0.33*F26)</f>
        <v>0.17299820253164558</v>
      </c>
      <c r="I26" s="12"/>
      <c r="J26" s="11" t="s">
        <v>0</v>
      </c>
      <c r="K26" t="s">
        <v>0</v>
      </c>
    </row>
    <row r="27" spans="1:11" ht="17.25" thickTop="1">
      <c r="A27" s="12"/>
      <c r="B27" s="12"/>
      <c r="C27" s="12"/>
      <c r="D27" s="12"/>
      <c r="E27" s="12"/>
      <c r="F27" s="12"/>
      <c r="G27" s="172" t="s">
        <v>45</v>
      </c>
      <c r="H27" s="53">
        <v>0.18770000000000001</v>
      </c>
      <c r="I27" s="12"/>
    </row>
    <row r="28" spans="1:11" ht="16.5">
      <c r="A28" s="12"/>
      <c r="B28" s="12"/>
      <c r="C28" s="14" t="s">
        <v>0</v>
      </c>
      <c r="D28" s="15" t="s">
        <v>0</v>
      </c>
      <c r="E28" s="15" t="s">
        <v>0</v>
      </c>
      <c r="F28" s="16" t="s">
        <v>0</v>
      </c>
      <c r="G28" s="16" t="s">
        <v>46</v>
      </c>
      <c r="H28" s="299">
        <v>8.6599999999999996E-2</v>
      </c>
      <c r="I28" s="12"/>
    </row>
    <row r="29" spans="1:11" ht="16.5">
      <c r="A29" s="12"/>
      <c r="B29" s="12"/>
      <c r="D29" s="53" t="s">
        <v>0</v>
      </c>
      <c r="E29" s="48" t="s">
        <v>0</v>
      </c>
      <c r="F29" s="48" t="s">
        <v>0</v>
      </c>
      <c r="G29" s="14" t="s">
        <v>18</v>
      </c>
      <c r="H29" s="49">
        <f>MEDIAN(H21:H26)</f>
        <v>0.16901453212585651</v>
      </c>
      <c r="I29" s="12"/>
    </row>
    <row r="30" spans="1:11" ht="16.5">
      <c r="A30" s="12"/>
      <c r="B30" s="12"/>
      <c r="D30" s="53" t="s">
        <v>0</v>
      </c>
      <c r="E30" s="48" t="s">
        <v>0</v>
      </c>
      <c r="F30" s="53" t="s">
        <v>0</v>
      </c>
      <c r="G30" s="14" t="s">
        <v>392</v>
      </c>
      <c r="H30" s="49">
        <f>AVERAGE(H21:H26)</f>
        <v>0.1634448418693065</v>
      </c>
      <c r="I30" s="12"/>
    </row>
    <row r="31" spans="1:11" ht="16.5">
      <c r="A31" s="12"/>
      <c r="B31" s="12"/>
      <c r="C31" s="14"/>
      <c r="D31" s="18"/>
      <c r="E31" s="19"/>
      <c r="F31" s="18"/>
      <c r="G31" s="20"/>
      <c r="H31" s="20"/>
      <c r="I31" s="12"/>
    </row>
    <row r="32" spans="1:11" ht="17.25" thickBot="1">
      <c r="A32" s="12"/>
      <c r="B32" s="12"/>
      <c r="C32" s="12"/>
      <c r="D32" s="12"/>
      <c r="E32" s="12"/>
      <c r="F32" s="12"/>
      <c r="G32" s="12"/>
      <c r="H32" s="12"/>
      <c r="I32" s="12"/>
    </row>
    <row r="33" spans="1:9" ht="27" thickBot="1">
      <c r="A33" s="12"/>
      <c r="B33" s="12"/>
      <c r="C33" s="12"/>
      <c r="D33" s="12"/>
      <c r="F33" s="178"/>
      <c r="G33" s="179" t="s">
        <v>221</v>
      </c>
      <c r="H33" s="307">
        <v>0.16339999999999999</v>
      </c>
      <c r="I33" s="12"/>
    </row>
    <row r="34" spans="1:9" ht="16.5">
      <c r="A34" s="12"/>
      <c r="B34" s="12"/>
      <c r="C34" s="12"/>
      <c r="D34" s="12"/>
      <c r="E34" s="12"/>
      <c r="F34" s="12"/>
      <c r="G34" s="12"/>
      <c r="H34" s="12"/>
      <c r="I34" s="12"/>
    </row>
    <row r="35" spans="1:9" ht="27">
      <c r="A35" s="23" t="s">
        <v>0</v>
      </c>
      <c r="B35" s="12"/>
      <c r="C35" s="12"/>
      <c r="D35" s="12"/>
      <c r="E35" s="12"/>
      <c r="F35" s="12"/>
      <c r="G35" s="22" t="s">
        <v>0</v>
      </c>
      <c r="H35" s="12"/>
      <c r="I35" s="12"/>
    </row>
    <row r="36" spans="1:9" ht="16.5">
      <c r="A36" s="42"/>
      <c r="B36" s="12"/>
      <c r="C36" s="12"/>
      <c r="D36" s="12"/>
      <c r="E36" s="12"/>
      <c r="F36" s="12"/>
      <c r="G36" s="12"/>
      <c r="H36" s="12"/>
      <c r="I36" s="12"/>
    </row>
    <row r="37" spans="1:9" ht="26.25">
      <c r="A37" s="23" t="s">
        <v>283</v>
      </c>
      <c r="B37" s="12"/>
      <c r="C37" s="12"/>
      <c r="D37" s="12"/>
      <c r="E37" s="12"/>
      <c r="F37" s="12"/>
      <c r="G37" s="12"/>
      <c r="H37" s="12"/>
      <c r="I37" s="12"/>
    </row>
    <row r="38" spans="1:9" ht="16.5">
      <c r="A38" s="42"/>
      <c r="B38" s="12"/>
      <c r="C38" s="12"/>
      <c r="D38" s="12"/>
      <c r="E38" s="12"/>
      <c r="F38" s="12"/>
      <c r="G38" s="12"/>
      <c r="H38" s="12"/>
      <c r="I38" s="12"/>
    </row>
    <row r="39" spans="1:9" ht="17.25">
      <c r="A39" s="60" t="s">
        <v>191</v>
      </c>
      <c r="B39" s="12"/>
      <c r="C39" s="12"/>
      <c r="D39" s="12"/>
      <c r="E39" s="12"/>
      <c r="F39" s="12"/>
      <c r="G39" s="12"/>
      <c r="H39" s="12"/>
      <c r="I39" s="12"/>
    </row>
    <row r="40" spans="1:9" ht="17.25">
      <c r="A40" s="60" t="s">
        <v>286</v>
      </c>
      <c r="B40" s="12"/>
      <c r="C40" s="12"/>
      <c r="D40" s="12"/>
      <c r="E40" s="12"/>
      <c r="F40" s="12"/>
      <c r="G40" s="12"/>
      <c r="H40" s="12"/>
      <c r="I40" s="12"/>
    </row>
    <row r="41" spans="1:9" ht="17.25">
      <c r="A41" s="60" t="s">
        <v>284</v>
      </c>
      <c r="B41" s="12"/>
      <c r="C41" s="12"/>
      <c r="D41" s="12"/>
      <c r="E41" s="12"/>
      <c r="F41" s="12"/>
      <c r="G41" s="12"/>
      <c r="H41" s="12"/>
      <c r="I41" s="12"/>
    </row>
    <row r="42" spans="1:9" ht="17.25">
      <c r="A42" s="60" t="s">
        <v>285</v>
      </c>
      <c r="B42" s="12"/>
      <c r="C42" s="12"/>
      <c r="D42" s="12"/>
      <c r="E42" s="12"/>
      <c r="F42" s="12"/>
      <c r="G42" s="12"/>
      <c r="H42" s="12"/>
      <c r="I42" s="12"/>
    </row>
    <row r="43" spans="1:9" ht="17.25">
      <c r="A43" s="60" t="s">
        <v>287</v>
      </c>
      <c r="B43" s="12"/>
      <c r="C43" s="12"/>
      <c r="D43" s="12"/>
      <c r="E43" s="12"/>
      <c r="F43" s="12"/>
      <c r="G43" s="12"/>
      <c r="H43" s="12"/>
      <c r="I43" s="12"/>
    </row>
    <row r="44" spans="1:9" ht="16.5">
      <c r="A44" s="12"/>
      <c r="B44" s="12"/>
      <c r="C44" s="12"/>
      <c r="D44" s="12"/>
      <c r="E44" s="12"/>
      <c r="F44" s="12"/>
      <c r="G44" s="12"/>
      <c r="H44" s="12"/>
      <c r="I44" s="12"/>
    </row>
    <row r="45" spans="1:9" ht="16.5">
      <c r="A45" s="12"/>
      <c r="B45" s="12"/>
      <c r="C45" s="12"/>
      <c r="D45" s="12"/>
      <c r="E45" s="12"/>
      <c r="F45" s="12"/>
      <c r="G45" s="12"/>
      <c r="H45" s="12"/>
      <c r="I45" s="12"/>
    </row>
    <row r="46" spans="1:9" ht="16.5">
      <c r="A46" s="12"/>
      <c r="B46" s="12"/>
      <c r="C46" s="12"/>
      <c r="D46" s="12"/>
      <c r="E46" s="12"/>
      <c r="F46" s="12"/>
      <c r="G46" s="12"/>
      <c r="H46" s="12"/>
      <c r="I46" s="12"/>
    </row>
    <row r="47" spans="1:9" ht="16.5">
      <c r="A47" s="12"/>
      <c r="B47" s="12"/>
      <c r="C47" s="12"/>
      <c r="D47" s="12"/>
      <c r="E47" s="12"/>
      <c r="F47" s="12"/>
      <c r="G47" s="12"/>
      <c r="H47" s="12"/>
      <c r="I47" s="12"/>
    </row>
    <row r="48" spans="1:9" ht="16.5">
      <c r="A48" s="12"/>
      <c r="B48" s="12"/>
      <c r="C48" s="12"/>
      <c r="D48" s="12"/>
      <c r="E48" s="12"/>
      <c r="F48" s="12"/>
      <c r="G48" s="12"/>
      <c r="H48" s="12"/>
      <c r="I48" s="12"/>
    </row>
    <row r="49" spans="1:9" ht="16.5">
      <c r="A49" s="12"/>
      <c r="B49" s="12"/>
      <c r="C49" s="12"/>
      <c r="D49" s="12"/>
      <c r="E49" s="12"/>
      <c r="F49" s="12"/>
      <c r="G49" s="12"/>
      <c r="H49" s="12"/>
      <c r="I49" s="12"/>
    </row>
    <row r="50" spans="1:9" ht="16.5">
      <c r="A50" s="12"/>
      <c r="B50" s="12"/>
      <c r="C50" s="12"/>
      <c r="D50" s="12"/>
      <c r="E50" s="12"/>
      <c r="F50" s="12"/>
      <c r="G50" s="12"/>
      <c r="H50" s="12"/>
      <c r="I50" s="12"/>
    </row>
    <row r="51" spans="1:9" ht="16.5">
      <c r="A51" s="12"/>
      <c r="B51" s="12"/>
      <c r="C51" s="12"/>
      <c r="D51" s="12"/>
      <c r="E51" s="12"/>
      <c r="F51" s="12"/>
      <c r="G51" s="12"/>
      <c r="H51" s="12"/>
      <c r="I51" s="12"/>
    </row>
    <row r="52" spans="1:9" ht="16.5">
      <c r="A52" s="12"/>
      <c r="B52" s="12"/>
      <c r="C52" s="12"/>
      <c r="D52" s="12"/>
      <c r="E52" s="12"/>
      <c r="F52" s="12"/>
      <c r="G52" s="12"/>
      <c r="H52" s="12"/>
      <c r="I52" s="12"/>
    </row>
    <row r="53" spans="1:9" ht="16.5">
      <c r="A53" s="12"/>
      <c r="B53" s="12"/>
      <c r="C53" s="12"/>
      <c r="D53" s="12"/>
      <c r="E53" s="12"/>
      <c r="F53" s="12"/>
      <c r="G53" s="12"/>
      <c r="H53" s="12"/>
      <c r="I53" s="12"/>
    </row>
    <row r="54" spans="1:9" ht="16.5">
      <c r="A54" s="12"/>
      <c r="B54" s="12"/>
      <c r="C54" s="12"/>
      <c r="D54" s="12"/>
      <c r="E54" s="12"/>
      <c r="F54" s="12"/>
      <c r="G54" s="12"/>
      <c r="H54" s="12"/>
      <c r="I54" s="12"/>
    </row>
    <row r="55" spans="1:9" ht="16.5">
      <c r="A55" s="12"/>
      <c r="B55" s="12"/>
      <c r="C55" s="12"/>
      <c r="D55" s="12"/>
      <c r="E55" s="12"/>
      <c r="F55" s="12"/>
      <c r="G55" s="12"/>
      <c r="H55" s="12"/>
      <c r="I55" s="12"/>
    </row>
    <row r="56" spans="1:9" ht="16.5">
      <c r="A56" s="12"/>
      <c r="B56" s="12"/>
      <c r="C56" s="12"/>
      <c r="D56" s="12"/>
      <c r="E56" s="12"/>
      <c r="F56" s="12"/>
      <c r="G56" s="12"/>
      <c r="H56" s="12"/>
      <c r="I56" s="12"/>
    </row>
    <row r="57" spans="1:9" ht="16.5">
      <c r="A57" s="12"/>
      <c r="B57" s="12"/>
      <c r="C57" s="12"/>
      <c r="D57" s="12"/>
      <c r="E57" s="12"/>
      <c r="F57" s="12"/>
      <c r="G57" s="12"/>
      <c r="H57" s="12"/>
      <c r="I57" s="12"/>
    </row>
    <row r="58" spans="1:9" ht="16.5">
      <c r="A58" s="12"/>
      <c r="B58" s="12"/>
      <c r="C58" s="12"/>
      <c r="D58" s="12"/>
      <c r="E58" s="12"/>
      <c r="F58" s="12"/>
      <c r="G58" s="12"/>
      <c r="H58" s="12"/>
      <c r="I58" s="12"/>
    </row>
    <row r="59" spans="1:9" ht="16.5">
      <c r="A59" s="12"/>
      <c r="B59" s="12"/>
      <c r="C59" s="12"/>
      <c r="D59" s="12"/>
      <c r="E59" s="12"/>
      <c r="F59" s="12"/>
      <c r="G59" s="12"/>
      <c r="H59" s="12"/>
      <c r="I59" s="12"/>
    </row>
    <row r="60" spans="1:9" ht="16.5">
      <c r="A60" s="12"/>
      <c r="B60" s="12"/>
      <c r="C60" s="12"/>
      <c r="D60" s="12"/>
      <c r="E60" s="12"/>
      <c r="F60" s="12"/>
      <c r="G60" s="12"/>
      <c r="H60" s="12"/>
      <c r="I60" s="12"/>
    </row>
    <row r="61" spans="1:9" ht="16.5">
      <c r="A61" s="12"/>
      <c r="B61" s="12"/>
      <c r="C61" s="12"/>
      <c r="D61" s="12"/>
      <c r="E61" s="12"/>
      <c r="F61" s="12"/>
      <c r="G61" s="12"/>
      <c r="H61" s="12"/>
      <c r="I61" s="12"/>
    </row>
    <row r="62" spans="1:9" ht="16.5">
      <c r="A62" s="12"/>
      <c r="B62" s="12"/>
      <c r="C62" s="12"/>
      <c r="D62" s="12"/>
      <c r="E62" s="12"/>
      <c r="F62" s="12"/>
      <c r="G62" s="12"/>
      <c r="H62" s="12"/>
      <c r="I62" s="12"/>
    </row>
    <row r="63" spans="1:9" ht="16.5">
      <c r="A63" s="12"/>
      <c r="B63" s="12"/>
      <c r="C63" s="12"/>
      <c r="D63" s="12"/>
      <c r="E63" s="12"/>
      <c r="F63" s="12"/>
      <c r="G63" s="12"/>
      <c r="H63" s="12"/>
      <c r="I63" s="12"/>
    </row>
    <row r="64" spans="1:9" ht="16.5">
      <c r="A64" s="12"/>
      <c r="B64" s="12"/>
      <c r="C64" s="12"/>
      <c r="D64" s="12"/>
      <c r="E64" s="12"/>
      <c r="F64" s="12"/>
      <c r="G64" s="12"/>
      <c r="H64" s="12"/>
      <c r="I64" s="12"/>
    </row>
    <row r="65" spans="1:9" ht="16.5">
      <c r="A65" s="12"/>
      <c r="B65" s="12"/>
      <c r="C65" s="12"/>
      <c r="D65" s="12"/>
      <c r="E65" s="12"/>
      <c r="F65" s="12"/>
      <c r="G65" s="12"/>
      <c r="H65" s="12"/>
      <c r="I65" s="12"/>
    </row>
    <row r="66" spans="1:9" ht="16.5">
      <c r="A66" s="12"/>
      <c r="B66" s="12"/>
      <c r="C66" s="12"/>
      <c r="D66" s="12"/>
      <c r="E66" s="12"/>
      <c r="F66" s="12"/>
      <c r="G66" s="12"/>
      <c r="H66" s="12"/>
      <c r="I66" s="12"/>
    </row>
    <row r="67" spans="1:9" ht="16.5">
      <c r="A67" s="12"/>
      <c r="B67" s="12"/>
      <c r="C67" s="12"/>
      <c r="D67" s="12"/>
      <c r="E67" s="12"/>
      <c r="F67" s="12"/>
      <c r="G67" s="12"/>
      <c r="H67" s="12"/>
      <c r="I67" s="12"/>
    </row>
    <row r="68" spans="1:9" ht="16.5">
      <c r="A68" s="12"/>
      <c r="B68" s="12"/>
      <c r="C68" s="12"/>
      <c r="D68" s="12"/>
      <c r="E68" s="12"/>
      <c r="F68" s="12"/>
      <c r="G68" s="12"/>
      <c r="H68" s="12"/>
      <c r="I68" s="12"/>
    </row>
    <row r="69" spans="1:9" ht="16.5">
      <c r="A69" s="12"/>
      <c r="B69" s="12"/>
      <c r="C69" s="12"/>
      <c r="D69" s="12"/>
      <c r="E69" s="12"/>
      <c r="F69" s="12"/>
      <c r="G69" s="12"/>
      <c r="H69" s="12"/>
      <c r="I69" s="12"/>
    </row>
    <row r="70" spans="1:9" ht="16.5">
      <c r="A70" s="12"/>
      <c r="B70" s="12"/>
      <c r="C70" s="12"/>
      <c r="D70" s="12"/>
      <c r="E70" s="12"/>
      <c r="F70" s="12"/>
      <c r="G70" s="12"/>
      <c r="H70" s="12"/>
      <c r="I70" s="12"/>
    </row>
    <row r="71" spans="1:9" ht="16.5">
      <c r="A71" s="12"/>
      <c r="B71" s="12"/>
      <c r="C71" s="12"/>
      <c r="D71" s="12"/>
      <c r="E71" s="12"/>
      <c r="F71" s="12"/>
      <c r="G71" s="12"/>
      <c r="H71" s="12"/>
      <c r="I71" s="12"/>
    </row>
    <row r="72" spans="1:9" ht="16.5">
      <c r="A72" s="12"/>
      <c r="B72" s="12"/>
      <c r="C72" s="12"/>
      <c r="D72" s="12"/>
      <c r="E72" s="12"/>
      <c r="F72" s="12"/>
      <c r="G72" s="12"/>
      <c r="H72" s="12"/>
      <c r="I72" s="12"/>
    </row>
    <row r="73" spans="1:9" ht="16.5">
      <c r="A73" s="12"/>
      <c r="B73" s="12"/>
      <c r="C73" s="12"/>
      <c r="D73" s="12"/>
      <c r="E73" s="12"/>
      <c r="F73" s="12"/>
      <c r="G73" s="12"/>
      <c r="H73" s="12"/>
      <c r="I73" s="12"/>
    </row>
    <row r="74" spans="1:9" ht="16.5">
      <c r="A74" s="12"/>
      <c r="B74" s="12"/>
      <c r="C74" s="12"/>
      <c r="D74" s="12"/>
      <c r="E74" s="12"/>
      <c r="F74" s="12"/>
      <c r="G74" s="12"/>
      <c r="H74" s="12"/>
      <c r="I74" s="12"/>
    </row>
    <row r="75" spans="1:9" ht="16.5">
      <c r="A75" s="12"/>
      <c r="B75" s="12"/>
      <c r="C75" s="12"/>
      <c r="D75" s="12"/>
      <c r="E75" s="12"/>
      <c r="F75" s="12"/>
      <c r="G75" s="12"/>
      <c r="H75" s="12"/>
      <c r="I75" s="12"/>
    </row>
    <row r="76" spans="1:9" ht="16.5">
      <c r="A76" s="12"/>
      <c r="B76" s="12"/>
      <c r="C76" s="12"/>
      <c r="D76" s="12"/>
      <c r="E76" s="12"/>
      <c r="F76" s="12"/>
      <c r="G76" s="12"/>
      <c r="H76" s="12"/>
      <c r="I76" s="12"/>
    </row>
    <row r="77" spans="1:9" ht="16.5">
      <c r="A77" s="12"/>
      <c r="B77" s="12"/>
      <c r="C77" s="12"/>
      <c r="D77" s="12"/>
      <c r="E77" s="12"/>
      <c r="F77" s="12"/>
      <c r="G77" s="12"/>
      <c r="H77" s="12"/>
      <c r="I77" s="12"/>
    </row>
    <row r="78" spans="1:9" ht="16.5">
      <c r="A78" s="12"/>
      <c r="B78" s="12"/>
      <c r="C78" s="12"/>
      <c r="D78" s="12"/>
      <c r="E78" s="12"/>
      <c r="F78" s="12"/>
      <c r="G78" s="12"/>
      <c r="H78" s="12"/>
      <c r="I78" s="12"/>
    </row>
    <row r="79" spans="1:9" ht="16.5">
      <c r="A79" s="12"/>
      <c r="B79" s="12"/>
      <c r="C79" s="12"/>
      <c r="D79" s="12"/>
      <c r="E79" s="12"/>
      <c r="F79" s="12"/>
      <c r="G79" s="12"/>
      <c r="H79" s="12"/>
      <c r="I79" s="12"/>
    </row>
    <row r="80" spans="1:9" ht="16.5">
      <c r="A80" s="12"/>
      <c r="B80" s="12"/>
      <c r="C80" s="12"/>
      <c r="D80" s="12"/>
      <c r="E80" s="12"/>
      <c r="F80" s="12"/>
      <c r="G80" s="12"/>
      <c r="H80" s="12"/>
      <c r="I80" s="12"/>
    </row>
    <row r="81" spans="1:9" ht="16.5">
      <c r="A81" s="12"/>
      <c r="B81" s="12"/>
      <c r="C81" s="12"/>
      <c r="D81" s="12"/>
      <c r="E81" s="12"/>
      <c r="F81" s="12"/>
      <c r="G81" s="12"/>
      <c r="H81" s="12"/>
      <c r="I81" s="12"/>
    </row>
    <row r="82" spans="1:9" ht="16.5">
      <c r="A82" s="12"/>
      <c r="B82" s="12"/>
      <c r="C82" s="12"/>
      <c r="D82" s="12"/>
      <c r="E82" s="12"/>
      <c r="F82" s="12"/>
      <c r="G82" s="12"/>
      <c r="H82" s="12"/>
      <c r="I82" s="12"/>
    </row>
    <row r="83" spans="1:9" ht="16.5">
      <c r="A83" s="12"/>
      <c r="B83" s="12"/>
      <c r="C83" s="12"/>
      <c r="D83" s="12"/>
      <c r="E83" s="12"/>
      <c r="F83" s="12"/>
      <c r="G83" s="12"/>
      <c r="H83" s="12"/>
      <c r="I83" s="12"/>
    </row>
    <row r="84" spans="1:9" ht="16.5">
      <c r="A84" s="12"/>
      <c r="B84" s="12"/>
      <c r="C84" s="12"/>
      <c r="D84" s="12"/>
      <c r="E84" s="12"/>
      <c r="F84" s="12"/>
      <c r="G84" s="12"/>
      <c r="H84" s="12"/>
      <c r="I84" s="12"/>
    </row>
    <row r="85" spans="1:9" ht="16.5">
      <c r="A85" s="12"/>
      <c r="B85" s="12"/>
      <c r="C85" s="12"/>
      <c r="D85" s="12"/>
      <c r="E85" s="12"/>
      <c r="F85" s="12"/>
      <c r="G85" s="12"/>
      <c r="H85" s="12"/>
      <c r="I85" s="12"/>
    </row>
    <row r="86" spans="1:9" ht="16.5">
      <c r="A86" s="12"/>
      <c r="B86" s="12"/>
      <c r="C86" s="12"/>
      <c r="D86" s="12"/>
      <c r="E86" s="12"/>
      <c r="F86" s="12"/>
      <c r="G86" s="12"/>
      <c r="H86" s="12"/>
      <c r="I86" s="12"/>
    </row>
    <row r="87" spans="1:9" ht="16.5">
      <c r="A87" s="12"/>
      <c r="B87" s="12"/>
      <c r="C87" s="12"/>
      <c r="D87" s="12"/>
      <c r="E87" s="12"/>
      <c r="F87" s="12"/>
      <c r="G87" s="12"/>
      <c r="H87" s="12"/>
      <c r="I87" s="12"/>
    </row>
    <row r="88" spans="1:9" ht="16.5">
      <c r="A88" s="12"/>
      <c r="B88" s="12"/>
      <c r="C88" s="12"/>
      <c r="D88" s="12"/>
      <c r="E88" s="12"/>
      <c r="F88" s="12"/>
      <c r="G88" s="12"/>
      <c r="H88" s="12"/>
      <c r="I88" s="12"/>
    </row>
    <row r="89" spans="1:9" ht="16.5">
      <c r="A89" s="12"/>
      <c r="B89" s="12"/>
      <c r="C89" s="12"/>
      <c r="D89" s="12"/>
      <c r="E89" s="12"/>
      <c r="F89" s="12"/>
      <c r="G89" s="12"/>
      <c r="H89" s="12"/>
      <c r="I89" s="12"/>
    </row>
    <row r="90" spans="1:9" ht="16.5">
      <c r="A90" s="12"/>
      <c r="B90" s="12"/>
      <c r="C90" s="12"/>
      <c r="D90" s="12"/>
      <c r="E90" s="12"/>
      <c r="F90" s="12"/>
      <c r="G90" s="12"/>
      <c r="H90" s="12"/>
      <c r="I90" s="12"/>
    </row>
    <row r="91" spans="1:9" ht="16.5">
      <c r="A91" s="12"/>
      <c r="B91" s="12"/>
      <c r="C91" s="12"/>
      <c r="D91" s="12"/>
      <c r="E91" s="12"/>
      <c r="F91" s="12"/>
      <c r="G91" s="12"/>
      <c r="H91" s="12"/>
      <c r="I91" s="12"/>
    </row>
    <row r="92" spans="1:9" ht="16.5">
      <c r="A92" s="12"/>
      <c r="B92" s="12"/>
      <c r="C92" s="12"/>
      <c r="D92" s="12"/>
      <c r="E92" s="12"/>
      <c r="F92" s="12"/>
      <c r="G92" s="12"/>
      <c r="H92" s="12"/>
      <c r="I92" s="12"/>
    </row>
    <row r="93" spans="1:9" ht="16.5">
      <c r="A93" s="12"/>
      <c r="B93" s="12"/>
      <c r="C93" s="12"/>
      <c r="D93" s="12"/>
      <c r="E93" s="12"/>
      <c r="F93" s="12"/>
      <c r="G93" s="12"/>
      <c r="H93" s="12"/>
      <c r="I93" s="12"/>
    </row>
    <row r="94" spans="1:9" ht="16.5">
      <c r="A94" s="12"/>
      <c r="B94" s="12"/>
      <c r="C94" s="12"/>
      <c r="D94" s="12"/>
      <c r="E94" s="12"/>
      <c r="F94" s="12"/>
      <c r="G94" s="12"/>
      <c r="H94" s="12"/>
      <c r="I94" s="12"/>
    </row>
    <row r="95" spans="1:9" ht="16.5">
      <c r="A95" s="12"/>
      <c r="B95" s="12"/>
      <c r="C95" s="12"/>
      <c r="D95" s="12"/>
      <c r="E95" s="12"/>
      <c r="F95" s="12"/>
      <c r="G95" s="12"/>
      <c r="H95" s="12"/>
      <c r="I95" s="12"/>
    </row>
    <row r="96" spans="1:9" ht="16.5">
      <c r="A96" s="12"/>
      <c r="B96" s="12"/>
      <c r="C96" s="12"/>
      <c r="D96" s="12"/>
      <c r="E96" s="12"/>
      <c r="F96" s="12"/>
      <c r="G96" s="12"/>
      <c r="H96" s="12"/>
      <c r="I96" s="12"/>
    </row>
    <row r="97" spans="1:9" ht="16.5">
      <c r="A97" s="12"/>
      <c r="B97" s="12"/>
      <c r="C97" s="12"/>
      <c r="D97" s="12"/>
      <c r="E97" s="12"/>
      <c r="F97" s="12"/>
      <c r="G97" s="12"/>
      <c r="H97" s="12"/>
      <c r="I97" s="12"/>
    </row>
    <row r="98" spans="1:9" ht="16.5">
      <c r="A98" s="12"/>
      <c r="B98" s="12"/>
      <c r="C98" s="12"/>
      <c r="D98" s="12"/>
      <c r="E98" s="12"/>
      <c r="F98" s="12"/>
      <c r="G98" s="12"/>
      <c r="H98" s="12"/>
      <c r="I98" s="12"/>
    </row>
    <row r="99" spans="1:9" ht="16.5">
      <c r="A99" s="12"/>
      <c r="B99" s="12"/>
      <c r="C99" s="12"/>
      <c r="D99" s="12"/>
      <c r="E99" s="12"/>
      <c r="F99" s="12"/>
      <c r="G99" s="12"/>
      <c r="H99" s="12"/>
      <c r="I99" s="12"/>
    </row>
    <row r="100" spans="1:9" ht="16.5">
      <c r="A100" s="12"/>
      <c r="B100" s="12"/>
      <c r="C100" s="12"/>
      <c r="D100" s="12"/>
      <c r="E100" s="12"/>
      <c r="F100" s="12"/>
      <c r="G100" s="12"/>
      <c r="H100" s="12"/>
      <c r="I100" s="12"/>
    </row>
    <row r="101" spans="1:9" ht="16.5">
      <c r="A101" s="12"/>
      <c r="B101" s="12"/>
      <c r="C101" s="12"/>
      <c r="D101" s="12"/>
      <c r="E101" s="12"/>
      <c r="F101" s="12"/>
      <c r="G101" s="12"/>
      <c r="H101" s="12"/>
      <c r="I101" s="12"/>
    </row>
    <row r="102" spans="1:9" ht="16.5">
      <c r="A102" s="12"/>
      <c r="B102" s="12"/>
      <c r="C102" s="12"/>
      <c r="D102" s="12"/>
      <c r="E102" s="12"/>
      <c r="F102" s="12"/>
      <c r="G102" s="12"/>
      <c r="H102" s="12"/>
      <c r="I102" s="12"/>
    </row>
    <row r="103" spans="1:9" ht="16.5">
      <c r="A103" s="12"/>
      <c r="B103" s="12"/>
      <c r="C103" s="12"/>
      <c r="D103" s="12"/>
      <c r="E103" s="12"/>
      <c r="F103" s="12"/>
      <c r="G103" s="12"/>
      <c r="H103" s="12"/>
      <c r="I103" s="12"/>
    </row>
    <row r="104" spans="1:9" ht="16.5">
      <c r="A104" s="12"/>
      <c r="B104" s="12"/>
      <c r="C104" s="12"/>
      <c r="D104" s="12"/>
      <c r="E104" s="12"/>
      <c r="F104" s="12"/>
      <c r="G104" s="12"/>
      <c r="H104" s="12"/>
      <c r="I104" s="12"/>
    </row>
    <row r="105" spans="1:9" ht="16.5">
      <c r="A105" s="12"/>
      <c r="B105" s="12"/>
      <c r="C105" s="12"/>
      <c r="D105" s="12"/>
      <c r="E105" s="12"/>
      <c r="F105" s="12"/>
      <c r="G105" s="12"/>
      <c r="H105" s="12"/>
      <c r="I105" s="12"/>
    </row>
    <row r="106" spans="1:9" ht="16.5">
      <c r="A106" s="12"/>
      <c r="B106" s="12"/>
      <c r="C106" s="12"/>
      <c r="D106" s="12"/>
      <c r="E106" s="12"/>
      <c r="F106" s="12"/>
      <c r="G106" s="12"/>
      <c r="H106" s="12"/>
      <c r="I106" s="12"/>
    </row>
  </sheetData>
  <pageMargins left="0.25" right="0.25" top="0.75" bottom="0.75" header="0.3" footer="0.3"/>
  <pageSetup scale="4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18509-4469-4CA1-837E-28DCE856C1A1}">
  <sheetPr>
    <tabColor rgb="FF92D050"/>
  </sheetPr>
  <dimension ref="A1:O47"/>
  <sheetViews>
    <sheetView view="pageBreakPreview" zoomScale="50" zoomScaleNormal="80" zoomScaleSheetLayoutView="50" workbookViewId="0">
      <selection activeCell="E4" sqref="E4"/>
    </sheetView>
  </sheetViews>
  <sheetFormatPr defaultRowHeight="15"/>
  <cols>
    <col min="1" max="1" width="21.5703125" customWidth="1"/>
    <col min="2" max="2" width="45.7109375" customWidth="1"/>
    <col min="3" max="3" width="20.85546875" customWidth="1"/>
    <col min="4" max="4" width="24" customWidth="1"/>
    <col min="5" max="5" width="29.28515625" customWidth="1"/>
    <col min="6" max="6" width="25.5703125" customWidth="1"/>
    <col min="7" max="7" width="20.140625" customWidth="1"/>
    <col min="8" max="9" width="27.28515625" customWidth="1"/>
    <col min="10" max="10" width="19.28515625" customWidth="1"/>
    <col min="11" max="11" width="21.28515625" customWidth="1"/>
    <col min="12" max="12" width="4.42578125" customWidth="1"/>
    <col min="13" max="13" width="22.7109375" customWidth="1"/>
    <col min="14" max="14" width="17.28515625" customWidth="1"/>
  </cols>
  <sheetData>
    <row r="1" spans="1:15" ht="26.25">
      <c r="A1" s="23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7.25">
      <c r="A2" s="60" t="s">
        <v>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16.5">
      <c r="A3" s="25" t="s">
        <v>475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6.5">
      <c r="A4" s="12"/>
      <c r="C4" s="12"/>
      <c r="D4" s="12"/>
      <c r="E4" s="506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ht="18" thickBot="1">
      <c r="A5" s="60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ht="21" thickBot="1">
      <c r="A6" s="246" t="str">
        <f>+'S&amp;D'!A12</f>
        <v>Liquid Transportation Pipeline Carriers</v>
      </c>
      <c r="B6" s="173"/>
      <c r="C6" s="12"/>
      <c r="D6" s="12"/>
      <c r="E6" s="12"/>
      <c r="F6" s="12"/>
      <c r="G6" s="12"/>
      <c r="H6" s="12"/>
      <c r="I6" s="12"/>
    </row>
    <row r="7" spans="1:15" ht="18" thickBot="1">
      <c r="A7" s="60"/>
      <c r="C7" s="12"/>
      <c r="D7" s="28"/>
      <c r="E7" s="28"/>
      <c r="F7" s="28"/>
      <c r="G7" s="12"/>
      <c r="H7" s="12"/>
      <c r="I7" s="12"/>
    </row>
    <row r="8" spans="1:15" ht="26.25">
      <c r="C8" s="12"/>
      <c r="D8" s="12"/>
      <c r="E8" s="30" t="s">
        <v>432</v>
      </c>
      <c r="G8" s="12"/>
      <c r="H8" s="12"/>
      <c r="I8" s="12"/>
    </row>
    <row r="9" spans="1:15" ht="21" thickBot="1">
      <c r="B9" s="29"/>
      <c r="D9" s="28"/>
      <c r="E9" s="31" t="s">
        <v>487</v>
      </c>
      <c r="F9" s="28"/>
      <c r="G9" s="12"/>
      <c r="H9" s="12"/>
      <c r="I9" s="12"/>
    </row>
    <row r="10" spans="1:15" ht="17.25" thickBot="1">
      <c r="B10" s="32" t="s">
        <v>0</v>
      </c>
      <c r="C10" s="32" t="s">
        <v>0</v>
      </c>
      <c r="D10" s="32" t="s">
        <v>0</v>
      </c>
      <c r="E10" s="32" t="s">
        <v>0</v>
      </c>
      <c r="F10" s="32" t="s">
        <v>0</v>
      </c>
      <c r="G10" s="32"/>
      <c r="H10" s="32" t="s">
        <v>0</v>
      </c>
      <c r="I10" s="28"/>
      <c r="J10" s="148"/>
    </row>
    <row r="11" spans="1:15" ht="16.5">
      <c r="B11" s="33" t="s">
        <v>0</v>
      </c>
      <c r="C11" s="33" t="s">
        <v>3</v>
      </c>
      <c r="D11" s="33" t="s">
        <v>319</v>
      </c>
      <c r="E11" s="353" t="s">
        <v>320</v>
      </c>
      <c r="F11" s="33" t="s">
        <v>218</v>
      </c>
      <c r="G11" s="33" t="s">
        <v>26</v>
      </c>
      <c r="H11" s="353" t="s">
        <v>375</v>
      </c>
      <c r="I11" s="33" t="s">
        <v>375</v>
      </c>
      <c r="J11" s="33" t="s">
        <v>26</v>
      </c>
    </row>
    <row r="12" spans="1:15" ht="17.25" thickBot="1">
      <c r="B12" s="35" t="s">
        <v>2</v>
      </c>
      <c r="C12" s="35" t="s">
        <v>4</v>
      </c>
      <c r="D12" s="35" t="s">
        <v>27</v>
      </c>
      <c r="E12" s="354" t="s">
        <v>158</v>
      </c>
      <c r="F12" s="35" t="s">
        <v>377</v>
      </c>
      <c r="G12" s="35" t="s">
        <v>29</v>
      </c>
      <c r="H12" s="354" t="s">
        <v>376</v>
      </c>
      <c r="I12" s="35" t="s">
        <v>28</v>
      </c>
      <c r="J12" s="35" t="s">
        <v>29</v>
      </c>
    </row>
    <row r="13" spans="1:15">
      <c r="B13" s="37" t="s">
        <v>0</v>
      </c>
      <c r="C13" s="37" t="s">
        <v>0</v>
      </c>
      <c r="D13" s="38" t="s">
        <v>113</v>
      </c>
      <c r="E13" s="355" t="s">
        <v>114</v>
      </c>
      <c r="F13" s="37" t="s">
        <v>0</v>
      </c>
      <c r="G13" s="37" t="s">
        <v>0</v>
      </c>
      <c r="H13" s="355" t="s">
        <v>114</v>
      </c>
      <c r="I13" s="37" t="s">
        <v>0</v>
      </c>
      <c r="J13" s="37" t="s">
        <v>0</v>
      </c>
    </row>
    <row r="14" spans="1:15" ht="16.5">
      <c r="B14" s="33"/>
      <c r="C14" s="33"/>
      <c r="D14" s="33"/>
      <c r="E14" s="356"/>
      <c r="F14" s="33"/>
      <c r="G14" s="33"/>
      <c r="H14" s="356"/>
      <c r="I14" s="33"/>
      <c r="J14" s="33"/>
    </row>
    <row r="15" spans="1:15" ht="16.5">
      <c r="B15" s="12"/>
      <c r="C15" s="12"/>
      <c r="D15" s="12"/>
      <c r="E15" s="357"/>
      <c r="F15" s="12"/>
      <c r="G15" s="12"/>
      <c r="H15" s="357"/>
      <c r="I15" s="12"/>
      <c r="J15" s="12"/>
    </row>
    <row r="16" spans="1:15" ht="17.25">
      <c r="B16" s="60" t="str">
        <f>+'S&amp;D'!A22</f>
        <v>Energy Transfer LP</v>
      </c>
      <c r="C16" s="89" t="str">
        <f>+'S&amp;D'!B22</f>
        <v>ET</v>
      </c>
      <c r="D16" s="171">
        <f>+'S&amp;D'!G22</f>
        <v>16.489999999999998</v>
      </c>
      <c r="E16" s="359">
        <v>25.7</v>
      </c>
      <c r="F16" s="71">
        <f t="shared" ref="F16:F18" si="0">D16/E16</f>
        <v>0.64163424124513613</v>
      </c>
      <c r="G16" s="54">
        <f t="shared" ref="G16:G21" si="1">1/F16</f>
        <v>1.5585203153426321</v>
      </c>
      <c r="H16" s="359">
        <v>9.85</v>
      </c>
      <c r="I16" s="71">
        <f t="shared" ref="I16:I21" si="2">D16/H16</f>
        <v>1.6741116751269034</v>
      </c>
      <c r="J16" s="54">
        <f t="shared" ref="J16:J21" si="3">1/I16</f>
        <v>0.59733171619163139</v>
      </c>
    </row>
    <row r="17" spans="2:10" ht="17.25">
      <c r="B17" s="60" t="str">
        <f>+'S&amp;D'!A23</f>
        <v>Enterprise Products Partnership LP</v>
      </c>
      <c r="C17" s="89" t="str">
        <f>+'S&amp;D'!B23</f>
        <v>EPD</v>
      </c>
      <c r="D17" s="171">
        <f>+'S&amp;D'!G23</f>
        <v>32.06</v>
      </c>
      <c r="E17" s="359">
        <v>24.55</v>
      </c>
      <c r="F17" s="71">
        <f t="shared" si="0"/>
        <v>1.3059063136456213</v>
      </c>
      <c r="G17" s="54">
        <f t="shared" si="1"/>
        <v>0.76575171553337484</v>
      </c>
      <c r="H17" s="359">
        <v>14.05</v>
      </c>
      <c r="I17" s="71">
        <f t="shared" si="2"/>
        <v>2.2818505338078294</v>
      </c>
      <c r="J17" s="54">
        <f t="shared" si="3"/>
        <v>0.43824079850280717</v>
      </c>
    </row>
    <row r="18" spans="2:10" ht="17.25">
      <c r="B18" s="60" t="str">
        <f>+'S&amp;D'!A24</f>
        <v>Hess Midstream LP</v>
      </c>
      <c r="C18" s="89" t="str">
        <f>+'S&amp;D'!B24</f>
        <v>HESM</v>
      </c>
      <c r="D18" s="171">
        <f>+'S&amp;D'!G24</f>
        <v>34.5</v>
      </c>
      <c r="E18" s="359">
        <v>12.5</v>
      </c>
      <c r="F18" s="351">
        <f t="shared" si="0"/>
        <v>2.76</v>
      </c>
      <c r="G18" s="54">
        <f t="shared" si="1"/>
        <v>0.3623188405797102</v>
      </c>
      <c r="H18" s="358">
        <v>2.25</v>
      </c>
      <c r="I18" s="351">
        <f t="shared" si="2"/>
        <v>15.333333333333334</v>
      </c>
      <c r="J18" s="54">
        <f t="shared" si="3"/>
        <v>6.5217391304347824E-2</v>
      </c>
    </row>
    <row r="19" spans="2:10" ht="17.25">
      <c r="B19" s="60" t="str">
        <f>+'S&amp;D'!A25</f>
        <v>MPLX, LP</v>
      </c>
      <c r="C19" s="89" t="str">
        <f>+'S&amp;D'!B25</f>
        <v>MPLX</v>
      </c>
      <c r="D19" s="171">
        <f>+'S&amp;D'!G25</f>
        <v>53.37</v>
      </c>
      <c r="E19" s="359">
        <v>14.3</v>
      </c>
      <c r="F19" s="71">
        <f t="shared" ref="F19:F21" si="4">D19/E19</f>
        <v>3.732167832167832</v>
      </c>
      <c r="G19" s="54">
        <f t="shared" si="1"/>
        <v>0.26794079070638938</v>
      </c>
      <c r="H19" s="359">
        <v>15.75</v>
      </c>
      <c r="I19" s="71">
        <f t="shared" si="2"/>
        <v>3.3885714285714283</v>
      </c>
      <c r="J19" s="54">
        <f t="shared" si="3"/>
        <v>0.29510961214165266</v>
      </c>
    </row>
    <row r="20" spans="2:10" ht="17.25">
      <c r="B20" s="60" t="str">
        <f>+'S&amp;D'!A26</f>
        <v>Plains All American Pipeline LP</v>
      </c>
      <c r="C20" s="89" t="str">
        <f>+'S&amp;D'!B26</f>
        <v>PAA</v>
      </c>
      <c r="D20" s="171">
        <f>+'S&amp;D'!G26</f>
        <v>17.96</v>
      </c>
      <c r="E20" s="358">
        <v>67.599999999999994</v>
      </c>
      <c r="F20" s="351">
        <f t="shared" si="4"/>
        <v>0.26568047337278111</v>
      </c>
      <c r="G20" s="54">
        <f t="shared" si="1"/>
        <v>3.7639198218262799</v>
      </c>
      <c r="H20" s="359">
        <v>10.9</v>
      </c>
      <c r="I20" s="351">
        <f t="shared" si="2"/>
        <v>1.6477064220183486</v>
      </c>
      <c r="J20" s="54">
        <f t="shared" si="3"/>
        <v>0.60690423162583518</v>
      </c>
    </row>
    <row r="21" spans="2:10" ht="17.25">
      <c r="B21" s="60" t="str">
        <f>+'S&amp;D'!A27</f>
        <v>Western Midstream Partners LP</v>
      </c>
      <c r="C21" s="89" t="str">
        <f>+'S&amp;D'!B27</f>
        <v>WES</v>
      </c>
      <c r="D21" s="171">
        <f>+'S&amp;D'!G27</f>
        <v>39.5</v>
      </c>
      <c r="E21" s="359">
        <v>10.5</v>
      </c>
      <c r="F21" s="71">
        <f t="shared" si="4"/>
        <v>3.7619047619047619</v>
      </c>
      <c r="G21" s="54">
        <f t="shared" si="1"/>
        <v>0.26582278481012661</v>
      </c>
      <c r="H21" s="359">
        <v>8.4</v>
      </c>
      <c r="I21" s="71">
        <f t="shared" si="2"/>
        <v>4.7023809523809526</v>
      </c>
      <c r="J21" s="54">
        <f t="shared" si="3"/>
        <v>0.21265822784810126</v>
      </c>
    </row>
    <row r="22" spans="2:10" ht="11.25" customHeight="1" thickBot="1">
      <c r="B22" s="12"/>
      <c r="C22" s="68"/>
      <c r="D22" s="68"/>
      <c r="E22" s="360"/>
      <c r="F22" s="352"/>
      <c r="G22" s="352"/>
      <c r="H22" s="360"/>
      <c r="I22" s="352"/>
      <c r="J22" s="366"/>
    </row>
    <row r="23" spans="2:10" ht="17.25" thickTop="1">
      <c r="B23" s="12"/>
      <c r="D23" s="14" t="s">
        <v>45</v>
      </c>
      <c r="E23" s="361">
        <f t="shared" ref="E23:J23" si="5">MAX(E16:E21)</f>
        <v>67.599999999999994</v>
      </c>
      <c r="F23" s="69">
        <f t="shared" si="5"/>
        <v>3.7619047619047619</v>
      </c>
      <c r="G23" s="404">
        <f t="shared" si="5"/>
        <v>3.7639198218262799</v>
      </c>
      <c r="H23" s="361">
        <f t="shared" si="5"/>
        <v>15.75</v>
      </c>
      <c r="I23" s="69">
        <f t="shared" si="5"/>
        <v>15.333333333333334</v>
      </c>
      <c r="J23" s="404">
        <f t="shared" si="5"/>
        <v>0.60690423162583518</v>
      </c>
    </row>
    <row r="24" spans="2:10" ht="16.5">
      <c r="B24" s="12"/>
      <c r="D24" s="329" t="s">
        <v>46</v>
      </c>
      <c r="E24" s="362">
        <f>MIN(E16:E21)</f>
        <v>10.5</v>
      </c>
      <c r="F24" s="333">
        <f t="shared" ref="F24:J24" si="6">MIN(F16:F21)</f>
        <v>0.26568047337278111</v>
      </c>
      <c r="G24" s="405">
        <f t="shared" si="6"/>
        <v>0.26582278481012661</v>
      </c>
      <c r="H24" s="362">
        <f t="shared" si="6"/>
        <v>2.25</v>
      </c>
      <c r="I24" s="333">
        <f t="shared" si="6"/>
        <v>1.6477064220183486</v>
      </c>
      <c r="J24" s="405">
        <f t="shared" si="6"/>
        <v>6.5217391304347824E-2</v>
      </c>
    </row>
    <row r="25" spans="2:10" ht="16.5">
      <c r="B25" s="12"/>
      <c r="D25" s="14" t="s">
        <v>18</v>
      </c>
      <c r="E25" s="363" t="s">
        <v>0</v>
      </c>
      <c r="F25" s="21">
        <f>MEDIAN(F16:F21)</f>
        <v>2.0329531568228107</v>
      </c>
      <c r="G25" s="54">
        <f>MEDIAN(G16:G21)</f>
        <v>0.56403527805654252</v>
      </c>
      <c r="H25" s="363" t="s">
        <v>0</v>
      </c>
      <c r="I25" s="18">
        <f>MEDIAN(I16:I21)</f>
        <v>2.8352109811896291</v>
      </c>
      <c r="J25" s="54">
        <f>MEDIAN(J16:J21)</f>
        <v>0.36667520532222991</v>
      </c>
    </row>
    <row r="26" spans="2:10" ht="16.5">
      <c r="B26" s="12"/>
      <c r="D26" s="14" t="s">
        <v>392</v>
      </c>
      <c r="E26" s="364" t="s">
        <v>0</v>
      </c>
      <c r="F26" s="19">
        <f>AVERAGE(F16:F21)</f>
        <v>2.0778822703893556</v>
      </c>
      <c r="G26" s="304">
        <f>AVERAGE(G16:G21)</f>
        <v>1.1640457114664189</v>
      </c>
      <c r="H26" s="364" t="s">
        <v>0</v>
      </c>
      <c r="I26" s="18">
        <f>AVERAGE(I16:I21)</f>
        <v>4.8379923908731328</v>
      </c>
      <c r="J26" s="304">
        <f>AVERAGE(J16:J21)</f>
        <v>0.36924366293572919</v>
      </c>
    </row>
    <row r="27" spans="2:10" ht="16.5">
      <c r="B27" s="12"/>
      <c r="C27" s="12"/>
      <c r="D27" s="12"/>
      <c r="E27" s="12"/>
      <c r="F27" s="12"/>
      <c r="G27" s="12"/>
      <c r="H27" s="12"/>
      <c r="I27" s="12"/>
    </row>
    <row r="28" spans="2:10" ht="16.5">
      <c r="B28" s="12"/>
      <c r="C28" s="12"/>
      <c r="D28" s="12"/>
      <c r="E28" s="12"/>
      <c r="F28" s="12"/>
      <c r="G28" s="12"/>
      <c r="H28" s="12"/>
      <c r="I28" s="12"/>
    </row>
    <row r="29" spans="2:10" ht="17.25" thickBot="1">
      <c r="B29" s="12"/>
      <c r="C29" s="12"/>
      <c r="D29" s="12"/>
      <c r="E29" s="12"/>
      <c r="F29" s="12"/>
      <c r="G29" s="12"/>
      <c r="I29" s="12"/>
    </row>
    <row r="30" spans="2:10" ht="27" thickBot="1">
      <c r="B30" s="74" t="s">
        <v>0</v>
      </c>
      <c r="C30" s="12"/>
      <c r="D30" s="23" t="s">
        <v>118</v>
      </c>
      <c r="E30" s="23"/>
      <c r="F30" s="220">
        <v>2.08</v>
      </c>
      <c r="G30" s="365"/>
      <c r="I30" s="220">
        <v>4.84</v>
      </c>
    </row>
    <row r="31" spans="2:10" ht="16.5">
      <c r="B31" s="74" t="s">
        <v>0</v>
      </c>
      <c r="C31" s="12"/>
      <c r="D31" s="12"/>
      <c r="E31" s="12"/>
      <c r="F31" s="12"/>
      <c r="G31" s="12"/>
      <c r="I31" s="12"/>
    </row>
    <row r="32" spans="2:10" ht="16.5">
      <c r="B32" s="74"/>
      <c r="C32" s="12"/>
      <c r="D32" s="12"/>
      <c r="E32" s="12"/>
      <c r="F32" s="12"/>
      <c r="G32" s="12"/>
      <c r="I32" s="12"/>
    </row>
    <row r="33" spans="1:15" ht="17.25">
      <c r="A33" s="106" t="s">
        <v>378</v>
      </c>
      <c r="B33" s="74"/>
      <c r="C33" s="12"/>
      <c r="D33" s="12"/>
      <c r="E33" s="12"/>
      <c r="F33" s="12"/>
      <c r="G33" s="12"/>
      <c r="I33" s="12"/>
    </row>
    <row r="34" spans="1:15" ht="17.25">
      <c r="A34" s="106" t="s">
        <v>324</v>
      </c>
      <c r="B34" s="74"/>
      <c r="C34" s="12"/>
      <c r="D34" s="12"/>
      <c r="E34" s="12"/>
      <c r="F34" s="12"/>
      <c r="G34" s="12"/>
      <c r="H34" s="12"/>
      <c r="I34" s="12"/>
    </row>
    <row r="35" spans="1:15" ht="16.5">
      <c r="B35" s="74"/>
      <c r="C35" s="12"/>
      <c r="D35" s="12"/>
      <c r="E35" s="12"/>
      <c r="F35" s="12"/>
      <c r="G35" s="12"/>
      <c r="H35" s="12"/>
      <c r="I35" s="12"/>
    </row>
    <row r="36" spans="1:15" ht="17.25">
      <c r="A36" s="106" t="s">
        <v>379</v>
      </c>
      <c r="B36" s="74"/>
      <c r="C36" s="12"/>
      <c r="D36" s="12"/>
      <c r="E36" s="12"/>
      <c r="F36" s="12"/>
      <c r="G36" s="12"/>
      <c r="H36" s="12"/>
      <c r="I36" s="12"/>
    </row>
    <row r="37" spans="1:15" ht="17.25">
      <c r="A37" s="106" t="s">
        <v>322</v>
      </c>
      <c r="B37" s="74"/>
      <c r="C37" s="12"/>
      <c r="D37" s="12"/>
      <c r="E37" s="12"/>
      <c r="F37" s="12"/>
      <c r="G37" s="12"/>
      <c r="H37" s="12"/>
      <c r="I37" s="12"/>
    </row>
    <row r="38" spans="1:15" ht="17.25">
      <c r="A38" s="106" t="s">
        <v>323</v>
      </c>
      <c r="B38" s="74"/>
      <c r="C38" s="12"/>
      <c r="D38" s="12"/>
      <c r="E38" s="12"/>
      <c r="F38" s="12"/>
      <c r="G38" s="12"/>
      <c r="H38" s="12"/>
      <c r="I38" s="12"/>
    </row>
    <row r="39" spans="1:15" ht="16.5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spans="1:15" ht="16.5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spans="1:15" ht="16.5">
      <c r="B41" s="74"/>
      <c r="C41" s="12"/>
      <c r="D41" s="12"/>
      <c r="E41" s="12"/>
      <c r="F41" s="12"/>
      <c r="G41" s="12"/>
      <c r="H41" s="12"/>
      <c r="I41" s="12"/>
    </row>
    <row r="45" spans="1:15" ht="17.25">
      <c r="A45" s="106"/>
      <c r="B45" s="261"/>
      <c r="C45" s="260" t="s">
        <v>0</v>
      </c>
    </row>
    <row r="46" spans="1:15" ht="17.25">
      <c r="C46" s="260" t="s">
        <v>0</v>
      </c>
    </row>
    <row r="47" spans="1:15" ht="17.25">
      <c r="C47" s="260" t="s">
        <v>0</v>
      </c>
    </row>
  </sheetData>
  <pageMargins left="0.25" right="0.25" top="0.75" bottom="0.75" header="0.3" footer="0.3"/>
  <pageSetup scale="4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E8:F10"/>
  <sheetViews>
    <sheetView workbookViewId="0">
      <selection activeCell="P12" sqref="P12"/>
    </sheetView>
  </sheetViews>
  <sheetFormatPr defaultRowHeight="15"/>
  <sheetData>
    <row r="8" spans="5:6" ht="15.75" thickBot="1">
      <c r="E8" s="148"/>
      <c r="F8" t="s">
        <v>0</v>
      </c>
    </row>
    <row r="9" spans="5:6">
      <c r="E9" t="s">
        <v>0</v>
      </c>
    </row>
    <row r="10" spans="5:6">
      <c r="E10" t="s">
        <v>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CFB36B36E7EE46B860E7832FBC9DDB" ma:contentTypeVersion="2" ma:contentTypeDescription="Create a new document." ma:contentTypeScope="" ma:versionID="ec2d75d9a8c4cef51587de69844c551b">
  <xsd:schema xmlns:xsd="http://www.w3.org/2001/XMLSchema" xmlns:xs="http://www.w3.org/2001/XMLSchema" xmlns:p="http://schemas.microsoft.com/office/2006/metadata/properties" xmlns:ns2="f94b9277-b0a3-4d91-bade-04ea91219630" targetNamespace="http://schemas.microsoft.com/office/2006/metadata/properties" ma:root="true" ma:fieldsID="f6cdb8ae0f1f69c1a84b5b8d147db9a2" ns2:_="">
    <xsd:import namespace="f94b9277-b0a3-4d91-bade-04ea9121963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b9277-b0a3-4d91-bade-04ea912196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5DECA7-CBA0-420B-9923-4C682C75CF7B}"/>
</file>

<file path=customXml/itemProps2.xml><?xml version="1.0" encoding="utf-8"?>
<ds:datastoreItem xmlns:ds="http://schemas.openxmlformats.org/officeDocument/2006/customXml" ds:itemID="{36ADF292-0FC4-41F7-BF29-2BA994609663}"/>
</file>

<file path=customXml/itemProps3.xml><?xml version="1.0" encoding="utf-8"?>
<ds:datastoreItem xmlns:ds="http://schemas.openxmlformats.org/officeDocument/2006/customXml" ds:itemID="{5B936717-07F0-4B1E-8B8E-990B72CDBA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Cover Sheet</vt:lpstr>
      <vt:lpstr>Yield CapRate</vt:lpstr>
      <vt:lpstr>Direct CapRates</vt:lpstr>
      <vt:lpstr>S&amp;D</vt:lpstr>
      <vt:lpstr>Market to Book Ratios</vt:lpstr>
      <vt:lpstr>Maintenance CapEx</vt:lpstr>
      <vt:lpstr>Beta for CAPM</vt:lpstr>
      <vt:lpstr>Dividends </vt:lpstr>
      <vt:lpstr>Earnings</vt:lpstr>
      <vt:lpstr>Debt</vt:lpstr>
      <vt:lpstr>Direct GCF</vt:lpstr>
      <vt:lpstr>Direct NOPAT</vt:lpstr>
      <vt:lpstr>CAPM</vt:lpstr>
      <vt:lpstr>Growth &amp; Inflation Rates </vt:lpstr>
      <vt:lpstr>Indicated Yield Equity Rate</vt:lpstr>
      <vt:lpstr>Single Stage Div Growth Model</vt:lpstr>
      <vt:lpstr>Two-Stage Div Growth Model</vt:lpstr>
      <vt:lpstr>Multiples</vt:lpstr>
      <vt:lpstr>Info</vt:lpstr>
      <vt:lpstr>'Beta for CAPM'!Print_Area</vt:lpstr>
      <vt:lpstr>CAPM!Print_Area</vt:lpstr>
      <vt:lpstr>'Cover Sheet'!Print_Area</vt:lpstr>
      <vt:lpstr>Debt!Print_Area</vt:lpstr>
      <vt:lpstr>'Direct CapRates'!Print_Area</vt:lpstr>
      <vt:lpstr>'Direct GCF'!Print_Area</vt:lpstr>
      <vt:lpstr>'Direct NOPAT'!Print_Area</vt:lpstr>
      <vt:lpstr>'Dividends '!Print_Area</vt:lpstr>
      <vt:lpstr>Earnings!Print_Area</vt:lpstr>
      <vt:lpstr>'Growth &amp; Inflation Rates '!Print_Area</vt:lpstr>
      <vt:lpstr>'Indicated Yield Equity Rate'!Print_Area</vt:lpstr>
      <vt:lpstr>'Maintenance CapEx'!Print_Area</vt:lpstr>
      <vt:lpstr>'Market to Book Ratios'!Print_Area</vt:lpstr>
      <vt:lpstr>Multiples!Print_Area</vt:lpstr>
      <vt:lpstr>'S&amp;D'!Print_Area</vt:lpstr>
      <vt:lpstr>'Single Stage Div Growth Model'!Print_Area</vt:lpstr>
      <vt:lpstr>'Two-Stage Div Growth Model'!Print_Area</vt:lpstr>
      <vt:lpstr>'Yield CapRate'!Print_Area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Cap Rate Study - Liquid MLP Pipelines</dc:title>
  <dc:creator>%USERNAME%</dc:creator>
  <cp:lastModifiedBy>Carbin, Robert A (DOR)</cp:lastModifiedBy>
  <cp:lastPrinted>2023-05-30T15:41:49Z</cp:lastPrinted>
  <dcterms:created xsi:type="dcterms:W3CDTF">2016-02-12T19:29:24Z</dcterms:created>
  <dcterms:modified xsi:type="dcterms:W3CDTF">2026-09-21T19:04:07Z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0x01010019CFB36B36E7EE46B860E7832FBC9DDB</vt:lpwstr>
  </property>
</Properties>
</file>